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sumayah/Downloads/"/>
    </mc:Choice>
  </mc:AlternateContent>
  <xr:revisionPtr revIDLastSave="0" documentId="13_ncr:1_{7D87DC87-01D6-E641-A656-80D5EF900260}" xr6:coauthVersionLast="45" xr6:coauthVersionMax="45" xr10:uidLastSave="{00000000-0000-0000-0000-000000000000}"/>
  <bookViews>
    <workbookView xWindow="0" yWindow="460" windowWidth="26080" windowHeight="15600" tabRatio="500" activeTab="6" xr2:uid="{00000000-000D-0000-FFFF-FFFF00000000}"/>
  </bookViews>
  <sheets>
    <sheet name="Pick Up Assumptions" sheetId="1" state="hidden" r:id="rId1"/>
    <sheet name="Assumptions" sheetId="3" state="hidden" r:id="rId2"/>
    <sheet name="Snapshot" sheetId="13" r:id="rId3"/>
    <sheet name="Financials" sheetId="9" r:id="rId4"/>
    <sheet name="Ratios" sheetId="11" state="hidden" r:id="rId5"/>
    <sheet name="Critical assumptions" sheetId="10" r:id="rId6"/>
    <sheet name="Revenue &amp; COGS assumtions" sheetId="4" r:id="rId7"/>
    <sheet name="Other assumptions" sheetId="8" r:id="rId8"/>
    <sheet name="Employee Count" sheetId="6" state="hidden" r:id="rId9"/>
    <sheet name="IS Annual" sheetId="5" state="hidden" r:id="rId10"/>
    <sheet name="Omnivore " sheetId="7" state="hidden" r:id="rId11"/>
  </sheets>
  <externalReferences>
    <externalReference r:id="rId12"/>
  </externalReferences>
  <definedNames>
    <definedName name="Current_Month">#REF!</definedName>
    <definedName name="Oper_Model_Bank_Accounts">'[1]Operating Model'!$102:$102</definedName>
    <definedName name="Oper_Model_Engineering">'[1]Operating Model'!$30:$30</definedName>
    <definedName name="Oper_Model_Financing_Activities">'[1]Operating Model'!$172:$172</definedName>
    <definedName name="Oper_Model_General">'[1]Operating Model'!$61:$61</definedName>
    <definedName name="Oper_Model_Investing_Activities">'[1]Operating Model'!$165:$165</definedName>
    <definedName name="Oper_Model_Months">'[1]Operating Model'!$1:$1</definedName>
    <definedName name="Oper_Model_Operating_Activities">'[1]Operating Model'!$159:$159</definedName>
    <definedName name="Oper_Model_Revenue">'[1]Operating Model'!$5:$5</definedName>
    <definedName name="Oper_Model_Sales_and_Marketing">'[1]Operating Model'!$81:$81</definedName>
    <definedName name="Oper_Model_Service_Delivery">'[1]Operating Model'!$18:$18</definedName>
    <definedName name="Oper_Model_Support">'[1]Operating Model'!$15:$15</definedName>
    <definedName name="Revenue_Model_Months">'[1]Revenue Forecast Model'!$1:$1</definedName>
    <definedName name="Revenue_Model_MRR">'[1]Revenue Forecast Model'!$68:$68</definedName>
    <definedName name="solver_eng" localSheetId="0" hidden="1">1</definedName>
    <definedName name="solver_eng" localSheetId="6" hidden="1">1</definedName>
    <definedName name="solver_lin" localSheetId="0" hidden="1">2</definedName>
    <definedName name="solver_lin" localSheetId="6" hidden="1">2</definedName>
    <definedName name="solver_neg" localSheetId="0" hidden="1">1</definedName>
    <definedName name="solver_neg" localSheetId="6" hidden="1">1</definedName>
    <definedName name="solver_num" localSheetId="0" hidden="1">0</definedName>
    <definedName name="solver_num" localSheetId="6" hidden="1">0</definedName>
    <definedName name="solver_opt" localSheetId="0" hidden="1">'Pick Up Assumptions'!$F$8</definedName>
    <definedName name="solver_opt" localSheetId="6" hidden="1">'Revenue &amp; COGS assumtions'!$C$6</definedName>
    <definedName name="solver_typ" localSheetId="0" hidden="1">1</definedName>
    <definedName name="solver_typ" localSheetId="6" hidden="1">1</definedName>
    <definedName name="solver_val" localSheetId="0" hidden="1">0</definedName>
    <definedName name="solver_val" localSheetId="6" hidden="1">0</definedName>
    <definedName name="solver_ver" localSheetId="0" hidden="1">2</definedName>
    <definedName name="solver_ver" localSheetId="6" hidden="1">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0" i="4" l="1"/>
  <c r="H30" i="4"/>
  <c r="G30" i="4"/>
  <c r="F30" i="4"/>
  <c r="E30" i="4"/>
  <c r="D30" i="4"/>
  <c r="C30" i="4"/>
  <c r="I27" i="4"/>
  <c r="H27" i="4"/>
  <c r="G27" i="4"/>
  <c r="F27" i="4"/>
  <c r="E27" i="4"/>
  <c r="D27" i="4"/>
  <c r="C27" i="4"/>
  <c r="I17" i="4"/>
  <c r="H17" i="4"/>
  <c r="G17" i="4"/>
  <c r="F17" i="4"/>
  <c r="E17" i="4"/>
  <c r="D17" i="4"/>
  <c r="C17" i="4"/>
  <c r="G75" i="8" l="1"/>
  <c r="F75" i="8"/>
  <c r="E75" i="8"/>
  <c r="D22" i="9" s="1"/>
  <c r="C6" i="4" l="1"/>
  <c r="D2" i="4"/>
  <c r="D6" i="4"/>
  <c r="E2" i="4"/>
  <c r="E6" i="4"/>
  <c r="F2" i="4"/>
  <c r="F6" i="4"/>
  <c r="G2" i="4"/>
  <c r="G6" i="4"/>
  <c r="H2" i="4"/>
  <c r="H6" i="4"/>
  <c r="I2" i="4"/>
  <c r="I6" i="4"/>
  <c r="J2" i="4"/>
  <c r="J6" i="4"/>
  <c r="K2" i="4"/>
  <c r="K6" i="4"/>
  <c r="L2" i="4"/>
  <c r="L6" i="4"/>
  <c r="M2" i="4"/>
  <c r="M6" i="4"/>
  <c r="N2" i="4"/>
  <c r="N6" i="4"/>
  <c r="O2" i="4"/>
  <c r="O6" i="4"/>
  <c r="P2" i="4"/>
  <c r="P6" i="4"/>
  <c r="Q2" i="4"/>
  <c r="Q6" i="4"/>
  <c r="R2" i="4"/>
  <c r="R6" i="4"/>
  <c r="S2" i="4"/>
  <c r="S6" i="4"/>
  <c r="T2" i="4"/>
  <c r="T6" i="4"/>
  <c r="U2" i="4"/>
  <c r="U6" i="4"/>
  <c r="V2" i="4"/>
  <c r="V6" i="4"/>
  <c r="W2" i="4"/>
  <c r="W6" i="4"/>
  <c r="X2" i="4"/>
  <c r="X6" i="4"/>
  <c r="Y2" i="4"/>
  <c r="Y6" i="4"/>
  <c r="Z2" i="4"/>
  <c r="Z6" i="4"/>
  <c r="AA2" i="4"/>
  <c r="AA6" i="4"/>
  <c r="AB2" i="4"/>
  <c r="AB6" i="4"/>
  <c r="AC2" i="4"/>
  <c r="AC6" i="4"/>
  <c r="AD2" i="4"/>
  <c r="AD6" i="4"/>
  <c r="AE2" i="4"/>
  <c r="AE6" i="4"/>
  <c r="AF2" i="4"/>
  <c r="AF6" i="4"/>
  <c r="AF5" i="4"/>
  <c r="AF4" i="4"/>
  <c r="Z5" i="4"/>
  <c r="Z4" i="4"/>
  <c r="AF14" i="4"/>
  <c r="AG2" i="4"/>
  <c r="AG6" i="4"/>
  <c r="AG5" i="4"/>
  <c r="AG4" i="4"/>
  <c r="AG14" i="4"/>
  <c r="AH2" i="4"/>
  <c r="AH6" i="4"/>
  <c r="AH5" i="4"/>
  <c r="AH4" i="4"/>
  <c r="AB5" i="4"/>
  <c r="AB4" i="4"/>
  <c r="AH14" i="4"/>
  <c r="AI2" i="4"/>
  <c r="AI6" i="4"/>
  <c r="AI5" i="4"/>
  <c r="AI4" i="4"/>
  <c r="AC5" i="4"/>
  <c r="AC4" i="4"/>
  <c r="AI14" i="4"/>
  <c r="AJ2" i="4"/>
  <c r="AJ6" i="4"/>
  <c r="AJ5" i="4"/>
  <c r="AJ4" i="4"/>
  <c r="AD5" i="4"/>
  <c r="AD4" i="4"/>
  <c r="AJ14" i="4"/>
  <c r="AK2" i="4"/>
  <c r="AK6" i="4"/>
  <c r="AK5" i="4"/>
  <c r="AK4" i="4"/>
  <c r="AE5" i="4"/>
  <c r="AE4" i="4"/>
  <c r="AK14" i="4"/>
  <c r="AL2" i="4"/>
  <c r="AL6" i="4"/>
  <c r="AL5" i="4"/>
  <c r="AL4" i="4"/>
  <c r="AL14" i="4"/>
  <c r="AM2" i="4"/>
  <c r="AM6" i="4"/>
  <c r="AM5" i="4"/>
  <c r="AM4" i="4"/>
  <c r="AM14" i="4"/>
  <c r="AN2" i="4"/>
  <c r="AN6" i="4"/>
  <c r="AN5" i="4"/>
  <c r="AN4" i="4"/>
  <c r="AN14" i="4"/>
  <c r="AO2" i="4"/>
  <c r="AO6" i="4"/>
  <c r="AO5" i="4"/>
  <c r="AO4" i="4"/>
  <c r="AO14" i="4"/>
  <c r="AP2" i="4"/>
  <c r="AP6" i="4"/>
  <c r="AP5" i="4"/>
  <c r="AP4" i="4"/>
  <c r="AP14" i="4"/>
  <c r="AQ2" i="4"/>
  <c r="AQ6" i="4"/>
  <c r="AQ5" i="4"/>
  <c r="AQ4" i="4"/>
  <c r="AQ14" i="4"/>
  <c r="F5" i="9"/>
  <c r="AF8" i="4"/>
  <c r="AF10" i="4" s="1"/>
  <c r="AF11" i="4" s="1"/>
  <c r="AF15" i="4" s="1"/>
  <c r="AG8" i="4"/>
  <c r="AG10" i="4" s="1"/>
  <c r="AG11" i="4" s="1"/>
  <c r="AG15" i="4" s="1"/>
  <c r="AG26" i="4" s="1"/>
  <c r="AG27" i="4" s="1"/>
  <c r="AH8" i="4"/>
  <c r="AH10" i="4" s="1"/>
  <c r="AH11" i="4" s="1"/>
  <c r="AH15" i="4" s="1"/>
  <c r="AH26" i="4" s="1"/>
  <c r="AH27" i="4" s="1"/>
  <c r="AI8" i="4"/>
  <c r="AI10" i="4" s="1"/>
  <c r="AI11" i="4" s="1"/>
  <c r="AI15" i="4" s="1"/>
  <c r="AI26" i="4" s="1"/>
  <c r="AI27" i="4" s="1"/>
  <c r="AJ8" i="4"/>
  <c r="AJ10" i="4" s="1"/>
  <c r="AJ11" i="4" s="1"/>
  <c r="AJ15" i="4" s="1"/>
  <c r="AJ26" i="4" s="1"/>
  <c r="AJ27" i="4" s="1"/>
  <c r="AK8" i="4"/>
  <c r="AK10" i="4" s="1"/>
  <c r="AK11" i="4" s="1"/>
  <c r="AK15" i="4" s="1"/>
  <c r="AK26" i="4" s="1"/>
  <c r="AK27" i="4" s="1"/>
  <c r="AL8" i="4"/>
  <c r="AL10" i="4" s="1"/>
  <c r="AL11" i="4" s="1"/>
  <c r="AL15" i="4" s="1"/>
  <c r="AL26" i="4" s="1"/>
  <c r="AL27" i="4" s="1"/>
  <c r="AM8" i="4"/>
  <c r="AM10" i="4" s="1"/>
  <c r="AM11" i="4" s="1"/>
  <c r="AM15" i="4" s="1"/>
  <c r="AM26" i="4" s="1"/>
  <c r="AM27" i="4" s="1"/>
  <c r="AN8" i="4"/>
  <c r="AN10" i="4" s="1"/>
  <c r="AN11" i="4" s="1"/>
  <c r="AN15" i="4" s="1"/>
  <c r="AN26" i="4" s="1"/>
  <c r="AN27" i="4" s="1"/>
  <c r="AO8" i="4"/>
  <c r="AO10" i="4" s="1"/>
  <c r="AO11" i="4" s="1"/>
  <c r="AO15" i="4" s="1"/>
  <c r="AO26" i="4" s="1"/>
  <c r="AO27" i="4" s="1"/>
  <c r="AP8" i="4"/>
  <c r="AP10" i="4" s="1"/>
  <c r="AP11" i="4" s="1"/>
  <c r="AP15" i="4" s="1"/>
  <c r="AP26" i="4" s="1"/>
  <c r="AP27" i="4" s="1"/>
  <c r="AQ8" i="4"/>
  <c r="AQ10" i="4" s="1"/>
  <c r="AQ11" i="4" s="1"/>
  <c r="AQ15" i="4" s="1"/>
  <c r="AQ26" i="4" s="1"/>
  <c r="AQ27" i="4" s="1"/>
  <c r="AF16" i="4"/>
  <c r="AG16" i="4"/>
  <c r="AH16" i="4"/>
  <c r="AI16" i="4"/>
  <c r="AI29" i="4" s="1"/>
  <c r="AI30" i="4" s="1"/>
  <c r="AJ16" i="4"/>
  <c r="AK16" i="4"/>
  <c r="AL16" i="4"/>
  <c r="AM16" i="4"/>
  <c r="AN16" i="4"/>
  <c r="AO16" i="4"/>
  <c r="AP16" i="4"/>
  <c r="AQ16" i="4"/>
  <c r="AF21" i="4"/>
  <c r="AF22" i="4"/>
  <c r="AF23" i="4"/>
  <c r="AF24" i="4" s="1"/>
  <c r="AG21" i="4"/>
  <c r="AG22" i="4"/>
  <c r="AG23" i="4"/>
  <c r="AG24" i="4" s="1"/>
  <c r="AH21" i="4"/>
  <c r="AH22" i="4"/>
  <c r="AH23" i="4"/>
  <c r="AH24" i="4" s="1"/>
  <c r="AI21" i="4"/>
  <c r="AI22" i="4"/>
  <c r="AI23" i="4"/>
  <c r="AI24" i="4" s="1"/>
  <c r="AJ21" i="4"/>
  <c r="AJ22" i="4"/>
  <c r="AJ23" i="4"/>
  <c r="AJ24" i="4" s="1"/>
  <c r="AK21" i="4"/>
  <c r="AK22" i="4"/>
  <c r="AK23" i="4"/>
  <c r="AK24" i="4" s="1"/>
  <c r="AL21" i="4"/>
  <c r="AL22" i="4"/>
  <c r="AL23" i="4"/>
  <c r="AL24" i="4" s="1"/>
  <c r="AM21" i="4"/>
  <c r="AM22" i="4"/>
  <c r="AM23" i="4"/>
  <c r="AM24" i="4" s="1"/>
  <c r="AN21" i="4"/>
  <c r="AN22" i="4"/>
  <c r="AN23" i="4"/>
  <c r="AN24" i="4" s="1"/>
  <c r="AO21" i="4"/>
  <c r="AO22" i="4"/>
  <c r="AO23" i="4"/>
  <c r="AO24" i="4" s="1"/>
  <c r="AP21" i="4"/>
  <c r="AP22" i="4"/>
  <c r="AP23" i="4"/>
  <c r="AP24" i="4" s="1"/>
  <c r="AQ21" i="4"/>
  <c r="AQ22" i="4"/>
  <c r="AQ23" i="4"/>
  <c r="AQ24" i="4" s="1"/>
  <c r="AF29" i="4"/>
  <c r="AF30" i="4" s="1"/>
  <c r="AJ29" i="4"/>
  <c r="AJ30" i="4" s="1"/>
  <c r="AN29" i="4"/>
  <c r="AN30" i="4" s="1"/>
  <c r="T5" i="4"/>
  <c r="T4" i="4"/>
  <c r="N5" i="4"/>
  <c r="N4" i="4"/>
  <c r="T14" i="4"/>
  <c r="U5" i="4"/>
  <c r="U4" i="4"/>
  <c r="U14" i="4"/>
  <c r="V5" i="4"/>
  <c r="V4" i="4"/>
  <c r="P5" i="4"/>
  <c r="P4" i="4"/>
  <c r="V14" i="4"/>
  <c r="W5" i="4"/>
  <c r="W4" i="4"/>
  <c r="Q5" i="4"/>
  <c r="Q4" i="4"/>
  <c r="W14" i="4"/>
  <c r="X5" i="4"/>
  <c r="X4" i="4"/>
  <c r="R5" i="4"/>
  <c r="R4" i="4"/>
  <c r="X14" i="4"/>
  <c r="Y5" i="4"/>
  <c r="Y4" i="4"/>
  <c r="S5" i="4"/>
  <c r="S4" i="4"/>
  <c r="Y14" i="4"/>
  <c r="Z14" i="4"/>
  <c r="AA5" i="4"/>
  <c r="AA4" i="4"/>
  <c r="AA14" i="4"/>
  <c r="AB14" i="4"/>
  <c r="AC14" i="4"/>
  <c r="AD14" i="4"/>
  <c r="AE14" i="4"/>
  <c r="E5" i="9"/>
  <c r="T8" i="4"/>
  <c r="T10" i="4" s="1"/>
  <c r="T11" i="4" s="1"/>
  <c r="T15" i="4" s="1"/>
  <c r="U8" i="4"/>
  <c r="U9" i="4" s="1"/>
  <c r="U10" i="4"/>
  <c r="U11" i="4" s="1"/>
  <c r="U15" i="4" s="1"/>
  <c r="U26" i="4" s="1"/>
  <c r="U27" i="4" s="1"/>
  <c r="V8" i="4"/>
  <c r="V10" i="4" s="1"/>
  <c r="V11" i="4" s="1"/>
  <c r="V15" i="4" s="1"/>
  <c r="V26" i="4" s="1"/>
  <c r="V27" i="4" s="1"/>
  <c r="W8" i="4"/>
  <c r="W10" i="4"/>
  <c r="W11" i="4" s="1"/>
  <c r="W15" i="4" s="1"/>
  <c r="W26" i="4" s="1"/>
  <c r="W27" i="4" s="1"/>
  <c r="X8" i="4"/>
  <c r="X10" i="4" s="1"/>
  <c r="X11" i="4" s="1"/>
  <c r="X15" i="4" s="1"/>
  <c r="X26" i="4" s="1"/>
  <c r="X27" i="4" s="1"/>
  <c r="Y8" i="4"/>
  <c r="Y10" i="4" s="1"/>
  <c r="Y11" i="4" s="1"/>
  <c r="Y15" i="4" s="1"/>
  <c r="Y26" i="4" s="1"/>
  <c r="Y27" i="4" s="1"/>
  <c r="Z8" i="4"/>
  <c r="Z10" i="4" s="1"/>
  <c r="Z11" i="4" s="1"/>
  <c r="Z15" i="4" s="1"/>
  <c r="Z26" i="4" s="1"/>
  <c r="Z27" i="4" s="1"/>
  <c r="AA8" i="4"/>
  <c r="AA10" i="4" s="1"/>
  <c r="AB8" i="4"/>
  <c r="AB10" i="4" s="1"/>
  <c r="AB11" i="4" s="1"/>
  <c r="AB15" i="4" s="1"/>
  <c r="AB26" i="4" s="1"/>
  <c r="AB27" i="4" s="1"/>
  <c r="AC8" i="4"/>
  <c r="AC10" i="4" s="1"/>
  <c r="AC11" i="4" s="1"/>
  <c r="AC15" i="4" s="1"/>
  <c r="AC26" i="4" s="1"/>
  <c r="AC27" i="4" s="1"/>
  <c r="AD8" i="4"/>
  <c r="AD10" i="4" s="1"/>
  <c r="AD11" i="4" s="1"/>
  <c r="AD15" i="4" s="1"/>
  <c r="AD26" i="4" s="1"/>
  <c r="AD27" i="4" s="1"/>
  <c r="AE8" i="4"/>
  <c r="AE10" i="4" s="1"/>
  <c r="AE11" i="4" s="1"/>
  <c r="AE15" i="4" s="1"/>
  <c r="AE26" i="4" s="1"/>
  <c r="AE27" i="4" s="1"/>
  <c r="T16" i="4"/>
  <c r="U16" i="4"/>
  <c r="V16" i="4"/>
  <c r="W16" i="4"/>
  <c r="X16" i="4"/>
  <c r="Y16" i="4"/>
  <c r="Z16" i="4"/>
  <c r="AA16" i="4"/>
  <c r="AB16" i="4"/>
  <c r="AC16" i="4"/>
  <c r="AD16" i="4"/>
  <c r="AE16" i="4"/>
  <c r="T21" i="4"/>
  <c r="T22" i="4"/>
  <c r="T23" i="4"/>
  <c r="T24" i="4"/>
  <c r="E10" i="9" s="1"/>
  <c r="U21" i="4"/>
  <c r="U22" i="4"/>
  <c r="U23" i="4"/>
  <c r="U24" i="4"/>
  <c r="V21" i="4"/>
  <c r="V22" i="4"/>
  <c r="V23" i="4"/>
  <c r="V24" i="4"/>
  <c r="W21" i="4"/>
  <c r="W22" i="4"/>
  <c r="W23" i="4"/>
  <c r="W24" i="4"/>
  <c r="X21" i="4"/>
  <c r="X22" i="4"/>
  <c r="X23" i="4"/>
  <c r="X24" i="4"/>
  <c r="Y21" i="4"/>
  <c r="Y22" i="4"/>
  <c r="Y23" i="4"/>
  <c r="Y24" i="4"/>
  <c r="Z21" i="4"/>
  <c r="Z22" i="4"/>
  <c r="Z23" i="4"/>
  <c r="Z24" i="4"/>
  <c r="AA21" i="4"/>
  <c r="AA22" i="4"/>
  <c r="AA23" i="4"/>
  <c r="AA24" i="4"/>
  <c r="AB21" i="4"/>
  <c r="AB22" i="4"/>
  <c r="AB23" i="4"/>
  <c r="AB24" i="4"/>
  <c r="AC21" i="4"/>
  <c r="AC22" i="4"/>
  <c r="AC23" i="4"/>
  <c r="AC24" i="4"/>
  <c r="AD21" i="4"/>
  <c r="AD22" i="4"/>
  <c r="AD23" i="4"/>
  <c r="AD24" i="4"/>
  <c r="AE21" i="4"/>
  <c r="AE22" i="4"/>
  <c r="AE23" i="4"/>
  <c r="AE24" i="4"/>
  <c r="H4" i="4"/>
  <c r="H14" i="4"/>
  <c r="I4" i="4"/>
  <c r="I14" i="4"/>
  <c r="J4" i="4"/>
  <c r="D4" i="4"/>
  <c r="J14" i="4"/>
  <c r="K4" i="4"/>
  <c r="E4" i="4"/>
  <c r="K14" i="4"/>
  <c r="L4" i="4"/>
  <c r="F4" i="4"/>
  <c r="L14" i="4"/>
  <c r="M5" i="4"/>
  <c r="M4" i="4"/>
  <c r="G4" i="4"/>
  <c r="M14" i="4"/>
  <c r="N14" i="4"/>
  <c r="O5" i="4"/>
  <c r="O4" i="4"/>
  <c r="O14" i="4"/>
  <c r="P14" i="4"/>
  <c r="Q14" i="4"/>
  <c r="R14" i="4"/>
  <c r="S14" i="4"/>
  <c r="D5" i="9"/>
  <c r="J8" i="4"/>
  <c r="J10" i="4" s="1"/>
  <c r="J11" i="4" s="1"/>
  <c r="J15" i="4" s="1"/>
  <c r="K8" i="4"/>
  <c r="K10" i="4" s="1"/>
  <c r="K11" i="4" s="1"/>
  <c r="K15" i="4" s="1"/>
  <c r="K26" i="4" s="1"/>
  <c r="K27" i="4" s="1"/>
  <c r="L8" i="4"/>
  <c r="L10" i="4" s="1"/>
  <c r="L11" i="4" s="1"/>
  <c r="L15" i="4" s="1"/>
  <c r="L26" i="4" s="1"/>
  <c r="L27" i="4" s="1"/>
  <c r="M8" i="4"/>
  <c r="M10" i="4" s="1"/>
  <c r="M11" i="4" s="1"/>
  <c r="M15" i="4" s="1"/>
  <c r="M26" i="4" s="1"/>
  <c r="M27" i="4" s="1"/>
  <c r="N8" i="4"/>
  <c r="N10" i="4" s="1"/>
  <c r="N11" i="4" s="1"/>
  <c r="N15" i="4" s="1"/>
  <c r="N26" i="4" s="1"/>
  <c r="N27" i="4" s="1"/>
  <c r="O8" i="4"/>
  <c r="O10" i="4" s="1"/>
  <c r="P8" i="4"/>
  <c r="P10" i="4" s="1"/>
  <c r="P11" i="4" s="1"/>
  <c r="P15" i="4" s="1"/>
  <c r="P26" i="4" s="1"/>
  <c r="P27" i="4" s="1"/>
  <c r="Q8" i="4"/>
  <c r="Q10" i="4" s="1"/>
  <c r="Q11" i="4" s="1"/>
  <c r="Q15" i="4" s="1"/>
  <c r="Q26" i="4" s="1"/>
  <c r="Q27" i="4" s="1"/>
  <c r="R8" i="4"/>
  <c r="R10" i="4" s="1"/>
  <c r="R11" i="4" s="1"/>
  <c r="R15" i="4" s="1"/>
  <c r="R26" i="4" s="1"/>
  <c r="R27" i="4" s="1"/>
  <c r="S8" i="4"/>
  <c r="S10" i="4" s="1"/>
  <c r="S11" i="4" s="1"/>
  <c r="S15" i="4" s="1"/>
  <c r="S26" i="4" s="1"/>
  <c r="S27" i="4" s="1"/>
  <c r="J16" i="4"/>
  <c r="K16" i="4"/>
  <c r="L16" i="4"/>
  <c r="M16" i="4"/>
  <c r="N16" i="4"/>
  <c r="O16" i="4"/>
  <c r="P16" i="4"/>
  <c r="Q16" i="4"/>
  <c r="R16" i="4"/>
  <c r="S16" i="4"/>
  <c r="H21" i="4"/>
  <c r="H22" i="4"/>
  <c r="H23" i="4"/>
  <c r="H24" i="4" s="1"/>
  <c r="I21" i="4"/>
  <c r="I22" i="4"/>
  <c r="I23" i="4"/>
  <c r="I24" i="4" s="1"/>
  <c r="I32" i="4" s="1"/>
  <c r="J21" i="4"/>
  <c r="J22" i="4"/>
  <c r="J23" i="4"/>
  <c r="J24" i="4" s="1"/>
  <c r="K21" i="4"/>
  <c r="K22" i="4"/>
  <c r="K23" i="4"/>
  <c r="K24" i="4" s="1"/>
  <c r="L21" i="4"/>
  <c r="L22" i="4"/>
  <c r="L23" i="4"/>
  <c r="L24" i="4" s="1"/>
  <c r="M21" i="4"/>
  <c r="M22" i="4"/>
  <c r="M23" i="4"/>
  <c r="M24" i="4" s="1"/>
  <c r="N21" i="4"/>
  <c r="N22" i="4"/>
  <c r="N23" i="4"/>
  <c r="N24" i="4" s="1"/>
  <c r="O21" i="4"/>
  <c r="O22" i="4"/>
  <c r="O23" i="4"/>
  <c r="O24" i="4" s="1"/>
  <c r="P21" i="4"/>
  <c r="P22" i="4"/>
  <c r="P23" i="4"/>
  <c r="P24" i="4" s="1"/>
  <c r="Q21" i="4"/>
  <c r="Q22" i="4"/>
  <c r="Q23" i="4"/>
  <c r="Q24" i="4" s="1"/>
  <c r="R21" i="4"/>
  <c r="R22" i="4"/>
  <c r="R23" i="4"/>
  <c r="R24" i="4" s="1"/>
  <c r="S21" i="4"/>
  <c r="S22" i="4"/>
  <c r="S23" i="4"/>
  <c r="S24" i="4" s="1"/>
  <c r="G14" i="4"/>
  <c r="G21" i="4"/>
  <c r="G22" i="4"/>
  <c r="G23" i="4"/>
  <c r="G24" i="4" s="1"/>
  <c r="G32" i="4" s="1"/>
  <c r="F14" i="4"/>
  <c r="F21" i="4"/>
  <c r="F22" i="4"/>
  <c r="F23" i="4"/>
  <c r="F24" i="4"/>
  <c r="F32" i="4" s="1"/>
  <c r="E14" i="4"/>
  <c r="E21" i="4"/>
  <c r="E22" i="4"/>
  <c r="E23" i="4"/>
  <c r="E24" i="4" s="1"/>
  <c r="E32" i="4" s="1"/>
  <c r="D14" i="4"/>
  <c r="D21" i="4"/>
  <c r="D22" i="4"/>
  <c r="D23" i="4"/>
  <c r="D24" i="4" s="1"/>
  <c r="D32" i="4" s="1"/>
  <c r="C14" i="4"/>
  <c r="C21" i="4"/>
  <c r="C22" i="4"/>
  <c r="C4" i="4"/>
  <c r="C23" i="4"/>
  <c r="C24" i="4"/>
  <c r="C32" i="4" s="1"/>
  <c r="I8" i="4"/>
  <c r="I10" i="4" s="1"/>
  <c r="I11" i="4" s="1"/>
  <c r="H8" i="4"/>
  <c r="H10" i="4" s="1"/>
  <c r="H11" i="4" s="1"/>
  <c r="G8" i="4"/>
  <c r="G10" i="4" s="1"/>
  <c r="G11" i="4" s="1"/>
  <c r="F8" i="4"/>
  <c r="F9" i="4" s="1"/>
  <c r="E8" i="4"/>
  <c r="E9" i="4" s="1"/>
  <c r="D8" i="4"/>
  <c r="C8" i="4"/>
  <c r="C9" i="4" s="1"/>
  <c r="B12" i="10"/>
  <c r="B11" i="10"/>
  <c r="E15" i="11"/>
  <c r="D15" i="11"/>
  <c r="C15" i="11"/>
  <c r="B2" i="10"/>
  <c r="F20" i="9"/>
  <c r="F21" i="9"/>
  <c r="L5" i="4"/>
  <c r="D20" i="9"/>
  <c r="D21" i="9"/>
  <c r="E20" i="9"/>
  <c r="E21" i="9"/>
  <c r="D52" i="9"/>
  <c r="E52" i="9"/>
  <c r="F52" i="9"/>
  <c r="D28" i="9"/>
  <c r="D63" i="9" s="1"/>
  <c r="C54" i="9"/>
  <c r="C43" i="9"/>
  <c r="C68" i="9"/>
  <c r="C70" i="9" s="1"/>
  <c r="C77" i="9" s="1"/>
  <c r="C79" i="9" s="1"/>
  <c r="C74" i="9"/>
  <c r="C75" i="9"/>
  <c r="E73" i="8"/>
  <c r="E55" i="8"/>
  <c r="F4" i="8"/>
  <c r="F55" i="8"/>
  <c r="G4" i="8"/>
  <c r="G55" i="8"/>
  <c r="E56" i="8"/>
  <c r="F56" i="8"/>
  <c r="G56" i="8"/>
  <c r="E57" i="8"/>
  <c r="F57" i="8"/>
  <c r="G57" i="8"/>
  <c r="E60" i="8"/>
  <c r="F60" i="8"/>
  <c r="G60" i="8"/>
  <c r="E61" i="8"/>
  <c r="F61" i="8"/>
  <c r="G61" i="8"/>
  <c r="E62" i="8"/>
  <c r="F62" i="8"/>
  <c r="G62" i="8"/>
  <c r="E74" i="8"/>
  <c r="E76" i="8"/>
  <c r="D43" i="9" s="1"/>
  <c r="D68" i="9" s="1"/>
  <c r="D70" i="9" s="1"/>
  <c r="F74" i="8"/>
  <c r="G74" i="8"/>
  <c r="C69" i="9"/>
  <c r="C56" i="9"/>
  <c r="F35" i="9"/>
  <c r="E35" i="9"/>
  <c r="C49" i="9"/>
  <c r="AO9" i="4"/>
  <c r="G70" i="8"/>
  <c r="F70" i="8"/>
  <c r="E70" i="8"/>
  <c r="G23" i="8"/>
  <c r="G24" i="8"/>
  <c r="G25" i="8"/>
  <c r="G26" i="8"/>
  <c r="G27" i="8"/>
  <c r="G38" i="8"/>
  <c r="G39" i="8"/>
  <c r="G40" i="8"/>
  <c r="G41" i="8"/>
  <c r="G42" i="8"/>
  <c r="F41" i="8"/>
  <c r="F40" i="8"/>
  <c r="F39" i="8"/>
  <c r="F38" i="8"/>
  <c r="E41" i="8"/>
  <c r="E40" i="8"/>
  <c r="E39" i="8"/>
  <c r="E38" i="8"/>
  <c r="F48" i="8"/>
  <c r="G48" i="8"/>
  <c r="F47" i="8"/>
  <c r="G47" i="8" s="1"/>
  <c r="F46" i="8"/>
  <c r="G46" i="8"/>
  <c r="F45" i="8"/>
  <c r="G45" i="8" s="1"/>
  <c r="G50" i="8" s="1"/>
  <c r="F42" i="8"/>
  <c r="E42" i="8"/>
  <c r="F26" i="8"/>
  <c r="F25" i="8"/>
  <c r="F24" i="8"/>
  <c r="F23" i="8"/>
  <c r="E26" i="8"/>
  <c r="E25" i="8"/>
  <c r="E24" i="8"/>
  <c r="E23" i="8"/>
  <c r="F33" i="8"/>
  <c r="G33" i="8" s="1"/>
  <c r="F32" i="8"/>
  <c r="G32" i="8"/>
  <c r="F31" i="8"/>
  <c r="G31" i="8" s="1"/>
  <c r="F30" i="8"/>
  <c r="G30" i="8"/>
  <c r="F27" i="8"/>
  <c r="E27" i="8"/>
  <c r="F18" i="8"/>
  <c r="E20" i="8"/>
  <c r="F17" i="8"/>
  <c r="G17" i="8" s="1"/>
  <c r="F16" i="8"/>
  <c r="G16" i="8" s="1"/>
  <c r="F15" i="8"/>
  <c r="G15" i="8"/>
  <c r="G8" i="8"/>
  <c r="G9" i="8"/>
  <c r="G10" i="8"/>
  <c r="G11" i="8"/>
  <c r="G12" i="8"/>
  <c r="F8" i="8"/>
  <c r="F9" i="8"/>
  <c r="F10" i="8"/>
  <c r="F11" i="8"/>
  <c r="F12" i="8"/>
  <c r="E12" i="8"/>
  <c r="F8" i="1"/>
  <c r="E5" i="7"/>
  <c r="F18" i="7"/>
  <c r="G18" i="7"/>
  <c r="F5" i="7"/>
  <c r="H18" i="7"/>
  <c r="I18" i="7"/>
  <c r="J18" i="7"/>
  <c r="K18" i="7"/>
  <c r="L18" i="7"/>
  <c r="M18" i="7"/>
  <c r="N18" i="7"/>
  <c r="E18" i="7"/>
  <c r="G5" i="7"/>
  <c r="F6" i="7"/>
  <c r="H19" i="7"/>
  <c r="H20" i="7"/>
  <c r="H21" i="7"/>
  <c r="E6" i="7"/>
  <c r="E19" i="7"/>
  <c r="G6" i="7"/>
  <c r="F19" i="7"/>
  <c r="F20" i="7"/>
  <c r="G19" i="7"/>
  <c r="G20" i="7"/>
  <c r="I19" i="7"/>
  <c r="I20" i="7"/>
  <c r="J19" i="7"/>
  <c r="J20" i="7"/>
  <c r="K19" i="7"/>
  <c r="K20" i="7"/>
  <c r="L19" i="7"/>
  <c r="L20" i="7"/>
  <c r="M19" i="7"/>
  <c r="M20" i="7"/>
  <c r="N19" i="7"/>
  <c r="N20" i="7"/>
  <c r="F21" i="7"/>
  <c r="F25" i="7"/>
  <c r="F26" i="7"/>
  <c r="F27" i="7"/>
  <c r="F28" i="7"/>
  <c r="G25" i="7"/>
  <c r="G26" i="7"/>
  <c r="G27" i="7"/>
  <c r="G28" i="7"/>
  <c r="H25" i="7"/>
  <c r="H26" i="7"/>
  <c r="H27" i="7"/>
  <c r="H28" i="7"/>
  <c r="I25" i="7"/>
  <c r="I26" i="7"/>
  <c r="I27" i="7"/>
  <c r="I28" i="7"/>
  <c r="J25" i="7"/>
  <c r="J26" i="7"/>
  <c r="J27" i="7"/>
  <c r="J28" i="7"/>
  <c r="K25" i="7"/>
  <c r="K26" i="7"/>
  <c r="K27" i="7"/>
  <c r="K28" i="7"/>
  <c r="L25" i="7"/>
  <c r="L26" i="7"/>
  <c r="L27" i="7"/>
  <c r="L28" i="7"/>
  <c r="M25" i="7"/>
  <c r="M26" i="7"/>
  <c r="M27" i="7"/>
  <c r="M28" i="7"/>
  <c r="N25" i="7"/>
  <c r="N26" i="7"/>
  <c r="N27" i="7"/>
  <c r="N28" i="7"/>
  <c r="E25" i="7"/>
  <c r="E26" i="7"/>
  <c r="E27" i="7"/>
  <c r="E28" i="7"/>
  <c r="F24" i="7"/>
  <c r="G24" i="7"/>
  <c r="H24" i="7"/>
  <c r="I24" i="7"/>
  <c r="J24" i="7"/>
  <c r="K24" i="7"/>
  <c r="L24" i="7"/>
  <c r="M24" i="7"/>
  <c r="N24" i="7"/>
  <c r="E24" i="7"/>
  <c r="G21" i="7"/>
  <c r="I21" i="7"/>
  <c r="J21" i="7"/>
  <c r="K21" i="7"/>
  <c r="L21" i="7"/>
  <c r="M21" i="7"/>
  <c r="N21" i="7"/>
  <c r="E20" i="7"/>
  <c r="E21" i="7"/>
  <c r="G7" i="7"/>
  <c r="G8" i="7"/>
  <c r="F7" i="7"/>
  <c r="F8" i="7"/>
  <c r="E7" i="7"/>
  <c r="E8" i="7"/>
  <c r="E27" i="5"/>
  <c r="E43" i="5"/>
  <c r="E44" i="5"/>
  <c r="D45" i="5"/>
  <c r="E45" i="5"/>
  <c r="D46" i="5"/>
  <c r="E46" i="5"/>
  <c r="D47" i="5"/>
  <c r="E47" i="5"/>
  <c r="E50" i="5"/>
  <c r="F10" i="4"/>
  <c r="F11" i="4" s="1"/>
  <c r="D4" i="5"/>
  <c r="F44" i="5"/>
  <c r="F43" i="5"/>
  <c r="D10" i="4"/>
  <c r="D11" i="4" s="1"/>
  <c r="D44" i="5"/>
  <c r="D43" i="5"/>
  <c r="D27" i="5"/>
  <c r="F27" i="5"/>
  <c r="D33" i="5"/>
  <c r="D34" i="5"/>
  <c r="F45" i="5"/>
  <c r="F46" i="5"/>
  <c r="F47" i="5"/>
  <c r="F50" i="5"/>
  <c r="D49" i="5"/>
  <c r="D50" i="5"/>
  <c r="E33" i="5"/>
  <c r="F34" i="5"/>
  <c r="F35" i="5"/>
  <c r="F33" i="5"/>
  <c r="E34" i="5"/>
  <c r="F14" i="5"/>
  <c r="F13" i="5"/>
  <c r="E14" i="5"/>
  <c r="E13" i="5"/>
  <c r="D14" i="5"/>
  <c r="D13" i="5"/>
  <c r="D15" i="5"/>
  <c r="E12" i="5"/>
  <c r="E15" i="5"/>
  <c r="F12" i="5"/>
  <c r="F15" i="5"/>
  <c r="R9" i="4"/>
  <c r="T9" i="4"/>
  <c r="W9" i="4"/>
  <c r="X9" i="4"/>
  <c r="AG9" i="4"/>
  <c r="AH9" i="4"/>
  <c r="D9" i="4"/>
  <c r="H9" i="4"/>
  <c r="L9" i="4"/>
  <c r="N9" i="4"/>
  <c r="K6" i="3"/>
  <c r="K7" i="3"/>
  <c r="C27" i="3"/>
  <c r="D18" i="1"/>
  <c r="C26" i="1"/>
  <c r="D26" i="1"/>
  <c r="E26" i="1"/>
  <c r="F26" i="1"/>
  <c r="C29" i="1"/>
  <c r="D29" i="1"/>
  <c r="F9" i="1"/>
  <c r="H9" i="1"/>
  <c r="H8" i="1"/>
  <c r="J29" i="1"/>
  <c r="H14" i="1"/>
  <c r="H30" i="1"/>
  <c r="H15" i="1"/>
  <c r="H31" i="1"/>
  <c r="H16" i="1"/>
  <c r="H32" i="1"/>
  <c r="H17" i="1"/>
  <c r="H33" i="1"/>
  <c r="H18" i="1"/>
  <c r="H34" i="1"/>
  <c r="H19" i="1"/>
  <c r="H35" i="1"/>
  <c r="H20" i="1"/>
  <c r="H36" i="1"/>
  <c r="H21" i="1"/>
  <c r="H37" i="1"/>
  <c r="H22" i="1"/>
  <c r="H38" i="1"/>
  <c r="H23" i="1"/>
  <c r="H39" i="1"/>
  <c r="H24" i="1"/>
  <c r="H40" i="1"/>
  <c r="H25" i="1"/>
  <c r="H41" i="1"/>
  <c r="H26" i="1"/>
  <c r="H42" i="1"/>
  <c r="K29" i="1"/>
  <c r="Q23" i="1"/>
  <c r="Q24" i="1"/>
  <c r="Q25" i="1"/>
  <c r="Q26" i="1"/>
  <c r="N23" i="1"/>
  <c r="N24" i="1"/>
  <c r="N25" i="1"/>
  <c r="N26" i="1"/>
  <c r="K23" i="1"/>
  <c r="K24" i="1"/>
  <c r="K25" i="1"/>
  <c r="K26" i="1"/>
  <c r="Q15" i="1"/>
  <c r="Q16" i="1"/>
  <c r="Q17" i="1"/>
  <c r="Q18" i="1"/>
  <c r="Q19" i="1"/>
  <c r="Q20" i="1"/>
  <c r="Q21" i="1"/>
  <c r="Q22" i="1"/>
  <c r="Q14" i="1"/>
  <c r="N14" i="1"/>
  <c r="N15" i="1"/>
  <c r="N16" i="1"/>
  <c r="N17" i="1"/>
  <c r="N18" i="1"/>
  <c r="N19" i="1"/>
  <c r="N20" i="1"/>
  <c r="N21" i="1"/>
  <c r="N22" i="1"/>
  <c r="K14" i="1"/>
  <c r="K15" i="1"/>
  <c r="K16" i="1"/>
  <c r="K17" i="1"/>
  <c r="K18" i="1"/>
  <c r="K19" i="1"/>
  <c r="K20" i="1"/>
  <c r="K21" i="1"/>
  <c r="K22" i="1"/>
  <c r="F50" i="8"/>
  <c r="E35" i="8"/>
  <c r="E50" i="8"/>
  <c r="I9" i="4" l="1"/>
  <c r="Q9" i="4"/>
  <c r="E10" i="4"/>
  <c r="E11" i="4" s="1"/>
  <c r="V9" i="4"/>
  <c r="P9" i="4"/>
  <c r="M9" i="4"/>
  <c r="AC9" i="4"/>
  <c r="AI9" i="4"/>
  <c r="AB9" i="4"/>
  <c r="AM9" i="4"/>
  <c r="AL9" i="4"/>
  <c r="Z9" i="4"/>
  <c r="AP9" i="4"/>
  <c r="J9" i="4"/>
  <c r="AK9" i="4"/>
  <c r="AD9" i="4"/>
  <c r="Y9" i="4"/>
  <c r="AQ9" i="4"/>
  <c r="AF9" i="4"/>
  <c r="AJ9" i="4"/>
  <c r="AE9" i="4"/>
  <c r="AA9" i="4"/>
  <c r="S9" i="4"/>
  <c r="AN9" i="4"/>
  <c r="O9" i="4"/>
  <c r="K9" i="4"/>
  <c r="J26" i="4"/>
  <c r="D28" i="5"/>
  <c r="D29" i="5" s="1"/>
  <c r="T26" i="4"/>
  <c r="E17" i="5"/>
  <c r="O11" i="4"/>
  <c r="O15" i="4" s="1"/>
  <c r="AA11" i="4"/>
  <c r="AA15" i="4" s="1"/>
  <c r="AA17" i="4" s="1"/>
  <c r="F17" i="5"/>
  <c r="F6" i="9"/>
  <c r="AF26" i="4"/>
  <c r="G9" i="4"/>
  <c r="C10" i="4"/>
  <c r="AN17" i="4"/>
  <c r="AN32" i="4" s="1"/>
  <c r="AJ17" i="4"/>
  <c r="AJ32" i="4" s="1"/>
  <c r="AF17" i="4"/>
  <c r="L17" i="4"/>
  <c r="L32" i="4" s="1"/>
  <c r="V17" i="4"/>
  <c r="AK17" i="4"/>
  <c r="X17" i="4"/>
  <c r="X32" i="4" s="1"/>
  <c r="T17" i="4"/>
  <c r="AI17" i="4"/>
  <c r="AI32" i="4" s="1"/>
  <c r="AK29" i="4"/>
  <c r="AK30" i="4" s="1"/>
  <c r="L29" i="4"/>
  <c r="L30" i="4" s="1"/>
  <c r="F36" i="5"/>
  <c r="F10" i="9"/>
  <c r="E36" i="5"/>
  <c r="H32" i="4"/>
  <c r="D10" i="9"/>
  <c r="D35" i="5"/>
  <c r="D36" i="5" s="1"/>
  <c r="E35" i="5"/>
  <c r="X29" i="4"/>
  <c r="X30" i="4" s="1"/>
  <c r="T29" i="4"/>
  <c r="T30" i="4" s="1"/>
  <c r="AC29" i="4"/>
  <c r="AC30" i="4" s="1"/>
  <c r="AC17" i="4"/>
  <c r="AH29" i="4"/>
  <c r="AH30" i="4" s="1"/>
  <c r="AH17" i="4"/>
  <c r="S29" i="4"/>
  <c r="S30" i="4" s="1"/>
  <c r="S17" i="4"/>
  <c r="O29" i="4"/>
  <c r="O30" i="4" s="1"/>
  <c r="K29" i="4"/>
  <c r="K30" i="4" s="1"/>
  <c r="K17" i="4"/>
  <c r="AB29" i="4"/>
  <c r="AB30" i="4" s="1"/>
  <c r="AB17" i="4"/>
  <c r="AO29" i="4"/>
  <c r="AO30" i="4" s="1"/>
  <c r="AO17" i="4"/>
  <c r="AG29" i="4"/>
  <c r="AG30" i="4" s="1"/>
  <c r="AG17" i="4"/>
  <c r="P29" i="4"/>
  <c r="P30" i="4" s="1"/>
  <c r="P17" i="4"/>
  <c r="U29" i="4"/>
  <c r="U30" i="4" s="1"/>
  <c r="U17" i="4"/>
  <c r="AP29" i="4"/>
  <c r="AP30" i="4" s="1"/>
  <c r="AP17" i="4"/>
  <c r="R29" i="4"/>
  <c r="R30" i="4" s="1"/>
  <c r="R17" i="4"/>
  <c r="N29" i="4"/>
  <c r="N30" i="4" s="1"/>
  <c r="N17" i="4"/>
  <c r="J29" i="4"/>
  <c r="J30" i="4" s="1"/>
  <c r="J17" i="4"/>
  <c r="AE29" i="4"/>
  <c r="AE30" i="4" s="1"/>
  <c r="AE17" i="4"/>
  <c r="AA29" i="4"/>
  <c r="AA30" i="4" s="1"/>
  <c r="W29" i="4"/>
  <c r="W30" i="4" s="1"/>
  <c r="W17" i="4"/>
  <c r="Y29" i="4"/>
  <c r="Y30" i="4" s="1"/>
  <c r="Y17" i="4"/>
  <c r="AL29" i="4"/>
  <c r="AL30" i="4" s="1"/>
  <c r="AL17" i="4"/>
  <c r="Q29" i="4"/>
  <c r="Q30" i="4" s="1"/>
  <c r="Q17" i="4"/>
  <c r="M29" i="4"/>
  <c r="M30" i="4" s="1"/>
  <c r="M17" i="4"/>
  <c r="AD29" i="4"/>
  <c r="AD30" i="4" s="1"/>
  <c r="AD17" i="4"/>
  <c r="Z29" i="4"/>
  <c r="Z30" i="4" s="1"/>
  <c r="Z17" i="4"/>
  <c r="AQ29" i="4"/>
  <c r="AQ30" i="4" s="1"/>
  <c r="AQ17" i="4"/>
  <c r="AM29" i="4"/>
  <c r="AM30" i="4" s="1"/>
  <c r="AM17" i="4"/>
  <c r="AM32" i="4" s="1"/>
  <c r="D7" i="9"/>
  <c r="E52" i="8"/>
  <c r="D19" i="9" s="1"/>
  <c r="D23" i="9" s="1"/>
  <c r="G35" i="8"/>
  <c r="F35" i="8"/>
  <c r="F73" i="8"/>
  <c r="D78" i="9"/>
  <c r="C40" i="9"/>
  <c r="C45" i="9" s="1"/>
  <c r="G18" i="8"/>
  <c r="G20" i="8" s="1"/>
  <c r="G52" i="8" s="1"/>
  <c r="F19" i="9" s="1"/>
  <c r="F20" i="8"/>
  <c r="F52" i="8" s="1"/>
  <c r="E19" i="9" s="1"/>
  <c r="E7" i="9"/>
  <c r="V29" i="4"/>
  <c r="V30" i="4" s="1"/>
  <c r="V32" i="4" s="1"/>
  <c r="F7" i="9"/>
  <c r="AK32" i="4" l="1"/>
  <c r="F8" i="9"/>
  <c r="F41" i="9" s="1"/>
  <c r="AA26" i="4"/>
  <c r="F28" i="5"/>
  <c r="T27" i="4"/>
  <c r="T32" i="4" s="1"/>
  <c r="AF27" i="4"/>
  <c r="AF32" i="4" s="1"/>
  <c r="F11" i="9"/>
  <c r="E28" i="5"/>
  <c r="E29" i="5" s="1"/>
  <c r="O26" i="4"/>
  <c r="D11" i="9" s="1"/>
  <c r="D6" i="9"/>
  <c r="D8" i="9" s="1"/>
  <c r="D41" i="9" s="1"/>
  <c r="E48" i="5"/>
  <c r="E18" i="5"/>
  <c r="O17" i="4"/>
  <c r="D17" i="5"/>
  <c r="C11" i="4"/>
  <c r="F48" i="5"/>
  <c r="F18" i="5"/>
  <c r="E6" i="9"/>
  <c r="E8" i="9" s="1"/>
  <c r="E41" i="9" s="1"/>
  <c r="J27" i="4"/>
  <c r="J32" i="4" s="1"/>
  <c r="D38" i="5"/>
  <c r="D39" i="5" s="1"/>
  <c r="D52" i="5" s="1"/>
  <c r="K32" i="4"/>
  <c r="S32" i="4"/>
  <c r="AC32" i="4"/>
  <c r="AQ32" i="4"/>
  <c r="AO32" i="4"/>
  <c r="AB32" i="4"/>
  <c r="AH32" i="4"/>
  <c r="F12" i="9"/>
  <c r="F13" i="9" s="1"/>
  <c r="F42" i="9" s="1"/>
  <c r="AD32" i="4"/>
  <c r="Q32" i="4"/>
  <c r="Y32" i="4"/>
  <c r="F29" i="5"/>
  <c r="R32" i="4"/>
  <c r="U32" i="4"/>
  <c r="AG32" i="4"/>
  <c r="D12" i="9"/>
  <c r="Z32" i="4"/>
  <c r="M32" i="4"/>
  <c r="AL32" i="4"/>
  <c r="W32" i="4"/>
  <c r="AE32" i="4"/>
  <c r="N32" i="4"/>
  <c r="AP32" i="4"/>
  <c r="P32" i="4"/>
  <c r="E12" i="9"/>
  <c r="D13" i="9" l="1"/>
  <c r="D48" i="9" s="1"/>
  <c r="D49" i="9" s="1"/>
  <c r="AA27" i="4"/>
  <c r="AA32" i="4" s="1"/>
  <c r="F38" i="5"/>
  <c r="F39" i="5" s="1"/>
  <c r="F52" i="5" s="1"/>
  <c r="D18" i="5"/>
  <c r="D48" i="5"/>
  <c r="O27" i="4"/>
  <c r="O32" i="4" s="1"/>
  <c r="E38" i="5"/>
  <c r="E39" i="5" s="1"/>
  <c r="E52" i="5" s="1"/>
  <c r="E11" i="9"/>
  <c r="E13" i="9" s="1"/>
  <c r="F15" i="9"/>
  <c r="F16" i="9" s="1"/>
  <c r="E4" i="11" s="1"/>
  <c r="F48" i="9"/>
  <c r="F49" i="9" s="1"/>
  <c r="E22" i="9"/>
  <c r="E23" i="9" s="1"/>
  <c r="E28" i="9"/>
  <c r="E63" i="9" s="1"/>
  <c r="F76" i="8"/>
  <c r="D15" i="9" l="1"/>
  <c r="D16" i="9" s="1"/>
  <c r="C4" i="11" s="1"/>
  <c r="D42" i="9"/>
  <c r="D64" i="9" s="1"/>
  <c r="E15" i="9"/>
  <c r="E25" i="9" s="1"/>
  <c r="E48" i="9"/>
  <c r="E49" i="9" s="1"/>
  <c r="E42" i="9"/>
  <c r="D25" i="9"/>
  <c r="D31" i="9" s="1"/>
  <c r="D32" i="9" s="1"/>
  <c r="D33" i="9" s="1"/>
  <c r="C6" i="11" s="1"/>
  <c r="E43" i="9"/>
  <c r="E68" i="9" s="1"/>
  <c r="E70" i="9" s="1"/>
  <c r="G73" i="8"/>
  <c r="E16" i="9" l="1"/>
  <c r="D4" i="11" s="1"/>
  <c r="E64" i="9"/>
  <c r="F64" i="9"/>
  <c r="D62" i="9"/>
  <c r="D65" i="9" s="1"/>
  <c r="D29" i="9"/>
  <c r="D26" i="9"/>
  <c r="C5" i="11" s="1"/>
  <c r="D36" i="9"/>
  <c r="D73" i="9" s="1"/>
  <c r="E31" i="9"/>
  <c r="E32" i="9" s="1"/>
  <c r="E29" i="9"/>
  <c r="E26" i="9"/>
  <c r="D5" i="11" s="1"/>
  <c r="D53" i="9" l="1"/>
  <c r="D54" i="9" s="1"/>
  <c r="C8" i="11" s="1"/>
  <c r="F22" i="9"/>
  <c r="F23" i="9" s="1"/>
  <c r="F25" i="9" s="1"/>
  <c r="F28" i="9"/>
  <c r="F63" i="9" s="1"/>
  <c r="G76" i="8"/>
  <c r="F43" i="9" s="1"/>
  <c r="F68" i="9" s="1"/>
  <c r="F70" i="9" s="1"/>
  <c r="E62" i="9"/>
  <c r="E65" i="9" s="1"/>
  <c r="E33" i="9"/>
  <c r="D6" i="11" s="1"/>
  <c r="E36" i="9"/>
  <c r="E73" i="9" s="1"/>
  <c r="D56" i="9" l="1"/>
  <c r="D74" i="9"/>
  <c r="D75" i="9" s="1"/>
  <c r="D77" i="9" s="1"/>
  <c r="D79" i="9" s="1"/>
  <c r="F31" i="9"/>
  <c r="F32" i="9" s="1"/>
  <c r="F26" i="9"/>
  <c r="E5" i="11" s="1"/>
  <c r="F29" i="9"/>
  <c r="E53" i="9"/>
  <c r="E54" i="9" s="1"/>
  <c r="E56" i="9" s="1"/>
  <c r="D40" i="9"/>
  <c r="D81" i="9" s="1"/>
  <c r="E78" i="9"/>
  <c r="E74" i="9" l="1"/>
  <c r="E75" i="9" s="1"/>
  <c r="E77" i="9" s="1"/>
  <c r="E79" i="9" s="1"/>
  <c r="F78" i="9" s="1"/>
  <c r="D8" i="11"/>
  <c r="F36" i="9"/>
  <c r="F73" i="9" s="1"/>
  <c r="F33" i="9"/>
  <c r="E6" i="11" s="1"/>
  <c r="F62" i="9"/>
  <c r="F65" i="9" s="1"/>
  <c r="C13" i="11"/>
  <c r="D45" i="9"/>
  <c r="C14" i="11"/>
  <c r="C12" i="11"/>
  <c r="E40" i="9" l="1"/>
  <c r="E81" i="9" s="1"/>
  <c r="F53" i="9"/>
  <c r="F54" i="9" s="1"/>
  <c r="E8" i="11" s="1"/>
  <c r="C9" i="11"/>
  <c r="C7" i="11"/>
  <c r="D58" i="9"/>
  <c r="D12" i="11" l="1"/>
  <c r="E45" i="9"/>
  <c r="D9" i="11" s="1"/>
  <c r="D14" i="11"/>
  <c r="D13" i="11"/>
  <c r="F74" i="9"/>
  <c r="F75" i="9" s="1"/>
  <c r="F77" i="9" s="1"/>
  <c r="F79" i="9" s="1"/>
  <c r="F40" i="9" s="1"/>
  <c r="E12" i="11" s="1"/>
  <c r="F56" i="9"/>
  <c r="E58" i="9" l="1"/>
  <c r="D7" i="11"/>
  <c r="E13" i="11"/>
  <c r="F45" i="9"/>
  <c r="E9" i="11" s="1"/>
  <c r="E14" i="11"/>
  <c r="F81" i="9"/>
  <c r="F58" i="9" l="1"/>
  <c r="E7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lulu alzamil</author>
  </authors>
  <commentList>
    <comment ref="B7" authorId="0" shapeId="0" xr:uid="{00000000-0006-0000-0400-000001000000}">
      <text>
        <r>
          <rPr>
            <b/>
            <sz val="9"/>
            <color indexed="81"/>
            <rFont val="Calibri"/>
            <family val="2"/>
          </rPr>
          <t>lulu alzamil:</t>
        </r>
        <r>
          <rPr>
            <sz val="9"/>
            <color indexed="81"/>
            <rFont val="Calibri"/>
            <family val="2"/>
          </rPr>
          <t xml:space="preserve">
outsources to a design company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lulu alzamil</author>
  </authors>
  <commentList>
    <comment ref="C35" authorId="0" shapeId="0" xr:uid="{00000000-0006-0000-0300-000001000000}">
      <text>
        <r>
          <rPr>
            <b/>
            <sz val="9"/>
            <color indexed="81"/>
            <rFont val="Calibri"/>
            <family val="2"/>
          </rPr>
          <t>lulu alzamil:</t>
        </r>
        <r>
          <rPr>
            <sz val="9"/>
            <color indexed="81"/>
            <rFont val="Calibri"/>
            <family val="2"/>
          </rPr>
          <t xml:space="preserve">
Should we divide it by 12 or leave it as a one time payment? 
</t>
        </r>
      </text>
    </comment>
    <comment ref="C42" authorId="0" shapeId="0" xr:uid="{00000000-0006-0000-0300-000002000000}">
      <text>
        <r>
          <rPr>
            <b/>
            <sz val="9"/>
            <color indexed="81"/>
            <rFont val="Calibri"/>
            <family val="2"/>
          </rPr>
          <t>lulu alzamil:</t>
        </r>
        <r>
          <rPr>
            <sz val="9"/>
            <color indexed="81"/>
            <rFont val="Calibri"/>
            <family val="2"/>
          </rPr>
          <t xml:space="preserve">
work on the assumptions
</t>
        </r>
      </text>
    </comment>
    <comment ref="C45" authorId="0" shapeId="0" xr:uid="{00000000-0006-0000-0300-000003000000}">
      <text>
        <r>
          <rPr>
            <b/>
            <sz val="9"/>
            <color indexed="81"/>
            <rFont val="Calibri"/>
            <family val="2"/>
          </rPr>
          <t>lulu alzamil:</t>
        </r>
        <r>
          <rPr>
            <sz val="9"/>
            <color indexed="81"/>
            <rFont val="Calibri"/>
            <family val="2"/>
          </rPr>
          <t xml:space="preserve">
Design agency and promotions for pick up</t>
        </r>
      </text>
    </comment>
    <comment ref="E47" authorId="0" shapeId="0" xr:uid="{00000000-0006-0000-0300-000004000000}">
      <text>
        <r>
          <rPr>
            <b/>
            <sz val="9"/>
            <color indexed="81"/>
            <rFont val="Calibri"/>
            <family val="2"/>
          </rPr>
          <t>lulu alzamil:</t>
        </r>
        <r>
          <rPr>
            <sz val="9"/>
            <color indexed="81"/>
            <rFont val="Calibri"/>
            <family val="2"/>
          </rPr>
          <t xml:space="preserve">
Add 3 more employees as costumer success 
</t>
        </r>
      </text>
    </comment>
    <comment ref="C48" authorId="0" shapeId="0" xr:uid="{00000000-0006-0000-0300-000005000000}">
      <text>
        <r>
          <rPr>
            <b/>
            <sz val="9"/>
            <color indexed="81"/>
            <rFont val="Calibri"/>
            <family val="2"/>
          </rPr>
          <t>lulu alzamil:</t>
        </r>
        <r>
          <rPr>
            <sz val="9"/>
            <color indexed="81"/>
            <rFont val="Calibri"/>
            <family val="2"/>
          </rPr>
          <t xml:space="preserve">
As an exercise we took 10% of # of transactions as the maximum number of SMS and multiplied it by $0.03</t>
        </r>
      </text>
    </comment>
  </commentList>
</comments>
</file>

<file path=xl/sharedStrings.xml><?xml version="1.0" encoding="utf-8"?>
<sst xmlns="http://schemas.openxmlformats.org/spreadsheetml/2006/main" count="356" uniqueCount="257">
  <si>
    <t>Inputs</t>
  </si>
  <si>
    <t>Cost per transaction</t>
  </si>
  <si>
    <t xml:space="preserve">Variables </t>
  </si>
  <si>
    <t>Avg Basket</t>
  </si>
  <si>
    <t xml:space="preserve"># of orders per month </t>
  </si>
  <si>
    <t xml:space="preserve">Average Cost per transaction </t>
  </si>
  <si>
    <t xml:space="preserve">Avg Cost </t>
  </si>
  <si>
    <t xml:space="preserve">Add 1 SR </t>
  </si>
  <si>
    <t>avg cost</t>
  </si>
  <si>
    <t>avg basket</t>
  </si>
  <si>
    <t>Avg basket</t>
  </si>
  <si>
    <t xml:space="preserve">Avg cost </t>
  </si>
  <si>
    <t># of orders</t>
  </si>
  <si>
    <t xml:space="preserve">perday </t>
  </si>
  <si>
    <t>total per month</t>
  </si>
  <si>
    <t>Mada</t>
  </si>
  <si>
    <t>Visa/Credit Card</t>
  </si>
  <si>
    <t>fee expense for tax purposes for stores if we take 6% store don’t want the tax to include that cost too</t>
  </si>
  <si>
    <t>1 SR pick up fee to smooth cost per transaction and remove risk of low basket</t>
  </si>
  <si>
    <t>VISA/CC</t>
  </si>
  <si>
    <t>Monthly Charges</t>
  </si>
  <si>
    <t xml:space="preserve"># of stores </t>
  </si>
  <si>
    <t xml:space="preserve">Revenue </t>
  </si>
  <si>
    <t xml:space="preserve">Profit </t>
  </si>
  <si>
    <t>avg orders per day per store</t>
  </si>
  <si>
    <t xml:space="preserve">Development </t>
  </si>
  <si>
    <t xml:space="preserve">Subscriptions </t>
  </si>
  <si>
    <t>Input</t>
  </si>
  <si>
    <t>Payment Fee</t>
  </si>
  <si>
    <t xml:space="preserve">Expense </t>
  </si>
  <si>
    <t>POS Commission</t>
  </si>
  <si>
    <t>1+0.0175</t>
  </si>
  <si>
    <t xml:space="preserve">Subscription </t>
  </si>
  <si>
    <t xml:space="preserve">Pick-up </t>
  </si>
  <si>
    <t xml:space="preserve">Revenues </t>
  </si>
  <si>
    <t>Subscriptions</t>
  </si>
  <si>
    <t># of stores</t>
  </si>
  <si>
    <t xml:space="preserve">Average basket </t>
  </si>
  <si>
    <t>% of foodics stores</t>
  </si>
  <si>
    <t xml:space="preserve">Fixed Costs </t>
  </si>
  <si>
    <t>Marketing</t>
  </si>
  <si>
    <t xml:space="preserve">Labor </t>
  </si>
  <si>
    <t xml:space="preserve">Monthly </t>
  </si>
  <si>
    <t>SMS</t>
  </si>
  <si>
    <t>Store  Launch</t>
  </si>
  <si>
    <t xml:space="preserve">Services </t>
  </si>
  <si>
    <t>Total</t>
  </si>
  <si>
    <t xml:space="preserve">75%Studio Upstairs &amp; 25%Freelancer </t>
  </si>
  <si>
    <t xml:space="preserve">Mafaz Salary </t>
  </si>
  <si>
    <t xml:space="preserve">for 7000 SMS </t>
  </si>
  <si>
    <t>Pick up stand 100</t>
  </si>
  <si>
    <t xml:space="preserve">Flyers 30 </t>
  </si>
  <si>
    <t xml:space="preserve">200 stores </t>
  </si>
  <si>
    <t>google,jira, others</t>
  </si>
  <si>
    <t>Servers/hosting</t>
  </si>
  <si>
    <t xml:space="preserve">To maintain and develop new features </t>
  </si>
  <si>
    <t>Assumptions for Revenue for the next 12 months</t>
  </si>
  <si>
    <t xml:space="preserve">% of pick up orders </t>
  </si>
  <si>
    <t xml:space="preserve">Average total Transcations per store </t>
  </si>
  <si>
    <t xml:space="preserve">AWS hosting </t>
  </si>
  <si>
    <t>Rent</t>
  </si>
  <si>
    <t xml:space="preserve">Foodics </t>
  </si>
  <si>
    <t xml:space="preserve"># of potential costumers </t>
  </si>
  <si>
    <t xml:space="preserve"># of Nugttah costumers </t>
  </si>
  <si>
    <t>4% of # potential costumers</t>
  </si>
  <si>
    <t xml:space="preserve">beginning value </t>
  </si>
  <si>
    <t xml:space="preserve">ending value </t>
  </si>
  <si>
    <t>number of periods</t>
  </si>
  <si>
    <t xml:space="preserve">CAGR </t>
  </si>
  <si>
    <t xml:space="preserve">Starting Date </t>
  </si>
  <si>
    <t>CUSTOMER WATERFALL</t>
  </si>
  <si>
    <t>+New Customers</t>
  </si>
  <si>
    <t>+Lost Customers</t>
  </si>
  <si>
    <t>=Customer EB</t>
  </si>
  <si>
    <t xml:space="preserve">Income statement Projections </t>
  </si>
  <si>
    <t>Revenue</t>
  </si>
  <si>
    <t>Total Revenue</t>
  </si>
  <si>
    <t xml:space="preserve">Cost of Goods </t>
  </si>
  <si>
    <t>Third Party Fees</t>
  </si>
  <si>
    <t>Transactions Fees</t>
  </si>
  <si>
    <t>Marketing Material</t>
  </si>
  <si>
    <t xml:space="preserve">Pick up </t>
  </si>
  <si>
    <t>avg # oftransactions per store</t>
  </si>
  <si>
    <t>% pick up transactions</t>
  </si>
  <si>
    <t>Pick Up Inputs</t>
  </si>
  <si>
    <t>Value of Pick up Transactions</t>
  </si>
  <si>
    <t xml:space="preserve">Operations Expenses </t>
  </si>
  <si>
    <t xml:space="preserve">Total </t>
  </si>
  <si>
    <t>Net Income</t>
  </si>
  <si>
    <t xml:space="preserve">#of transactions per day </t>
  </si>
  <si>
    <t>Value of Pick up Transactions/day</t>
  </si>
  <si>
    <t>Stores</t>
  </si>
  <si>
    <t>Branches</t>
  </si>
  <si>
    <t xml:space="preserve">MAU </t>
  </si>
  <si>
    <t xml:space="preserve">Sunk costs: </t>
  </si>
  <si>
    <t>Year 1</t>
  </si>
  <si>
    <t>Year 2</t>
  </si>
  <si>
    <t>Year 3</t>
  </si>
  <si>
    <t>Stores BB</t>
  </si>
  <si>
    <t xml:space="preserve">Value of Pick up </t>
  </si>
  <si>
    <t xml:space="preserve">#of transactions </t>
  </si>
  <si>
    <t># of transactions/month</t>
  </si>
  <si>
    <t>CAGR =10%</t>
  </si>
  <si>
    <t xml:space="preserve">Benchmark </t>
  </si>
  <si>
    <t>starbuck 15%- 2017</t>
  </si>
  <si>
    <t>Average of 25 stores</t>
  </si>
  <si>
    <t xml:space="preserve">Partner stores data </t>
  </si>
  <si>
    <t xml:space="preserve">DAU </t>
  </si>
  <si>
    <t xml:space="preserve">Marketing </t>
  </si>
  <si>
    <t xml:space="preserve">Admin </t>
  </si>
  <si>
    <t xml:space="preserve">Full time </t>
  </si>
  <si>
    <t>Part time</t>
  </si>
  <si>
    <t>Interns</t>
  </si>
  <si>
    <t>Sales&amp; Costumer success</t>
  </si>
  <si>
    <t xml:space="preserve">Finance </t>
  </si>
  <si>
    <t xml:space="preserve">Inputs </t>
  </si>
  <si>
    <t>Price/Mo</t>
  </si>
  <si>
    <t>0-10</t>
  </si>
  <si>
    <t>11-150</t>
  </si>
  <si>
    <t>price/location/month</t>
  </si>
  <si>
    <t>Incremental change</t>
  </si>
  <si>
    <t>Maximum cost/location</t>
  </si>
  <si>
    <t>Cost for the minimum number loc</t>
  </si>
  <si>
    <t>Price/Month</t>
  </si>
  <si>
    <t xml:space="preserve">Price/location/month </t>
  </si>
  <si>
    <t xml:space="preserve">Cost per location </t>
  </si>
  <si>
    <t>Full cost/month</t>
  </si>
  <si>
    <t>Pick up potential orders</t>
  </si>
  <si>
    <t>Avg orders per store</t>
  </si>
  <si>
    <t>Expected Penetration rate</t>
  </si>
  <si>
    <t>Penetration orders</t>
  </si>
  <si>
    <t xml:space="preserve">Average basket size </t>
  </si>
  <si>
    <t>GMV</t>
  </si>
  <si>
    <t xml:space="preserve">Commission </t>
  </si>
  <si>
    <t xml:space="preserve">exchange  rate </t>
  </si>
  <si>
    <t>Based on</t>
  </si>
  <si>
    <t>Units</t>
  </si>
  <si>
    <t>Inflation</t>
  </si>
  <si>
    <t>HR Assumption</t>
  </si>
  <si>
    <t>Direct Labor</t>
  </si>
  <si>
    <t>No. of Employees</t>
  </si>
  <si>
    <t>Salary / month</t>
  </si>
  <si>
    <t>Direct Labor Cost</t>
  </si>
  <si>
    <t>Part Time Labor</t>
  </si>
  <si>
    <t>Part Time Labor Cost</t>
  </si>
  <si>
    <t>Total Labor Cost</t>
  </si>
  <si>
    <t>Operating Cost</t>
  </si>
  <si>
    <t>Server Hosting</t>
  </si>
  <si>
    <t>Miscellaneous hosting</t>
  </si>
  <si>
    <t>Cost/month</t>
  </si>
  <si>
    <t>Marketing Cost</t>
  </si>
  <si>
    <t>Marketing expense</t>
  </si>
  <si>
    <t>Store Launch (200 Stores/anunm)</t>
  </si>
  <si>
    <t>Balance Sheet Assumptiosn</t>
  </si>
  <si>
    <t>DSO</t>
  </si>
  <si>
    <t>DPO</t>
  </si>
  <si>
    <t>DSI</t>
  </si>
  <si>
    <t>Working Capital Assumptions</t>
  </si>
  <si>
    <t>No. of days</t>
  </si>
  <si>
    <t>CCC</t>
  </si>
  <si>
    <t>Intangable Assets</t>
  </si>
  <si>
    <t>Beginning Balance</t>
  </si>
  <si>
    <t>Add: Purchases</t>
  </si>
  <si>
    <t>Less: Depreciation</t>
  </si>
  <si>
    <t>Ending Balance</t>
  </si>
  <si>
    <t>Income Statement</t>
  </si>
  <si>
    <t>Gross Profit</t>
  </si>
  <si>
    <t>Expenses</t>
  </si>
  <si>
    <t>Salaries and Benefits</t>
  </si>
  <si>
    <t>Total Expenses</t>
  </si>
  <si>
    <t>Net Earnings</t>
  </si>
  <si>
    <t>Subsription Revenue</t>
  </si>
  <si>
    <t>Total Reveneue</t>
  </si>
  <si>
    <t>Pick-up Revenue</t>
  </si>
  <si>
    <t>Pick-Up Costs</t>
  </si>
  <si>
    <t>Subscription Costs</t>
  </si>
  <si>
    <t>Total Cost of Goods Sold (COGS)</t>
  </si>
  <si>
    <t>Operating cost</t>
  </si>
  <si>
    <t>EBIT</t>
  </si>
  <si>
    <t>Depreciation</t>
  </si>
  <si>
    <t>EBITDA</t>
  </si>
  <si>
    <t>Balance Sheet</t>
  </si>
  <si>
    <t>Assets</t>
  </si>
  <si>
    <t>Cash</t>
  </si>
  <si>
    <t>Accounts Receivable</t>
  </si>
  <si>
    <t>Inventory</t>
  </si>
  <si>
    <t>Total Assets</t>
  </si>
  <si>
    <t>Liabilities</t>
  </si>
  <si>
    <t>Accounts Payable</t>
  </si>
  <si>
    <t>Total Liabilities</t>
  </si>
  <si>
    <t>Shareholder's Equity</t>
  </si>
  <si>
    <t>Equity Capital</t>
  </si>
  <si>
    <t>Retained Earnings</t>
  </si>
  <si>
    <t>Total Liabilities &amp; Shareholder's Equity</t>
  </si>
  <si>
    <t>Check</t>
  </si>
  <si>
    <t>Intangible assets</t>
  </si>
  <si>
    <t>Prepaid Expense</t>
  </si>
  <si>
    <t>Payout Ratio</t>
  </si>
  <si>
    <t>Dividend</t>
  </si>
  <si>
    <t>Cash Flow Statement</t>
  </si>
  <si>
    <t>Operating Cash Flow</t>
  </si>
  <si>
    <t>Plus: Depreciation &amp; Amortization</t>
  </si>
  <si>
    <t>Less: Changes in Working Capital</t>
  </si>
  <si>
    <t>Cash from Operations</t>
  </si>
  <si>
    <t>Investing Cash Flow</t>
  </si>
  <si>
    <t>Cash from Investing</t>
  </si>
  <si>
    <t>Financing Cash Flow</t>
  </si>
  <si>
    <t>Cash from Financing</t>
  </si>
  <si>
    <t>Net Increase (decrease) in Cash</t>
  </si>
  <si>
    <t>Opening Cash Balance</t>
  </si>
  <si>
    <t>Closing Cash Balance</t>
  </si>
  <si>
    <t>Prepaid Expenses</t>
  </si>
  <si>
    <t>CAPEX</t>
  </si>
  <si>
    <t>Chnages in Equity</t>
  </si>
  <si>
    <t>Less:Dividends</t>
  </si>
  <si>
    <t>Gross Margins</t>
  </si>
  <si>
    <t>Net Margins</t>
  </si>
  <si>
    <t>-</t>
  </si>
  <si>
    <t>Macro economic indicators</t>
  </si>
  <si>
    <t>Key Input Variables</t>
  </si>
  <si>
    <t>Average basket  (SR)</t>
  </si>
  <si>
    <t>Avg# of transactions per store</t>
  </si>
  <si>
    <t>Monthly Customer Pattern</t>
  </si>
  <si>
    <t>Revenue Projection</t>
  </si>
  <si>
    <t>Total subscription cost</t>
  </si>
  <si>
    <t>Total pick-up cost</t>
  </si>
  <si>
    <t>Ratios</t>
  </si>
  <si>
    <t>Profitability Ratios</t>
  </si>
  <si>
    <t>Gross Margin</t>
  </si>
  <si>
    <t>Net Margin</t>
  </si>
  <si>
    <t>Return on Assets</t>
  </si>
  <si>
    <t>Return on Equity</t>
  </si>
  <si>
    <t xml:space="preserve">Asset Turnover </t>
  </si>
  <si>
    <t>EBIT Margin</t>
  </si>
  <si>
    <t>Liquidity Analysis</t>
  </si>
  <si>
    <t>Current Ratio</t>
  </si>
  <si>
    <t>Quick Ratio</t>
  </si>
  <si>
    <t>Cash Ratio</t>
  </si>
  <si>
    <t>Cash Conversion Cycle</t>
  </si>
  <si>
    <t>Monthly customer growth rate (%)</t>
  </si>
  <si>
    <t>Annual Churn Rate  (%)</t>
  </si>
  <si>
    <t>Subsription revenue/customer (SR)</t>
  </si>
  <si>
    <t>Revenue on Pickup transaction (%)</t>
  </si>
  <si>
    <t>Third part fees on subsrciption procesing (%)</t>
  </si>
  <si>
    <t>Transaction fees (subscriptions) (%)</t>
  </si>
  <si>
    <t>Transaction fees (Pick up transactions) (%)</t>
  </si>
  <si>
    <t>Marketing cost per customer (SR)</t>
  </si>
  <si>
    <t>Marketing Campaing Revenue (SR)</t>
  </si>
  <si>
    <t>Marketing campaing per month</t>
  </si>
  <si>
    <t>Customers buying pickup scheme</t>
  </si>
  <si>
    <t>Marketing Campaings</t>
  </si>
  <si>
    <t>Marketing Campaing</t>
  </si>
  <si>
    <t>Marketing Campaign</t>
  </si>
  <si>
    <t>Zakat (10%)</t>
  </si>
  <si>
    <t>Total Marketing cost</t>
  </si>
  <si>
    <t>Income</t>
  </si>
  <si>
    <t>Amortization/Depreciation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</si>
</sst>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-&quot;£&quot;* #,##0.00_-;\-&quot;£&quot;* #,##0.00_-;_-&quot;£&quot;* &quot;-&quot;??_-;_-@_-"/>
    <numFmt numFmtId="165" formatCode="_-* #,##0.00_-;\-* #,##0.00_-;_-* &quot;-&quot;??_-;_-@_-"/>
    <numFmt numFmtId="166" formatCode="0.0%"/>
    <numFmt numFmtId="167" formatCode="0.000%"/>
    <numFmt numFmtId="168" formatCode="[$-409]mmm\-yy;@"/>
    <numFmt numFmtId="169" formatCode="_(* #,##0_);_(* \(#,##0\);_(* &quot;-&quot;??_);_(@_)"/>
    <numFmt numFmtId="170" formatCode="_-* #,##0_-;\-* #,##0_-;_-* &quot;-&quot;??_-;_-@_-"/>
    <numFmt numFmtId="171" formatCode="_-* #,##0_-;\-* #,##0_-;_-* &quot;-&quot;?_-;_-@_-"/>
    <numFmt numFmtId="172" formatCode="_-* #,##0_-;\(#,##0\)_-;_-* &quot;-&quot;_-;_-@_-"/>
    <numFmt numFmtId="173" formatCode="0.0000_ ;\-0.0000\ "/>
    <numFmt numFmtId="174" formatCode="0.000"/>
    <numFmt numFmtId="175" formatCode="[$-409]mmmm\-yy;@"/>
  </numFmts>
  <fonts count="2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3F3F76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u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color theme="0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10"/>
      <color rgb="FF000000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  <font>
      <i/>
      <sz val="10"/>
      <color rgb="FF0070C0"/>
      <name val="Century Gothic"/>
      <family val="2"/>
    </font>
    <font>
      <i/>
      <sz val="10"/>
      <color theme="1"/>
      <name val="Century Gothic"/>
      <family val="2"/>
    </font>
    <font>
      <i/>
      <sz val="10"/>
      <name val="Century Gothic"/>
      <family val="2"/>
    </font>
    <font>
      <sz val="10"/>
      <color theme="0"/>
      <name val="Century Gothic"/>
      <family val="2"/>
    </font>
    <font>
      <b/>
      <u/>
      <sz val="10"/>
      <color theme="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4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2" borderId="1" applyNumberFormat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0" fontId="6" fillId="0" borderId="2" applyNumberFormat="0" applyFill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24">
    <xf numFmtId="0" fontId="0" fillId="0" borderId="0" xfId="0"/>
    <xf numFmtId="164" fontId="0" fillId="0" borderId="0" xfId="1" applyFont="1"/>
    <xf numFmtId="0" fontId="0" fillId="0" borderId="0" xfId="0" applyAlignment="1">
      <alignment horizontal="center"/>
    </xf>
    <xf numFmtId="1" fontId="0" fillId="0" borderId="0" xfId="0" applyNumberFormat="1"/>
    <xf numFmtId="166" fontId="0" fillId="0" borderId="0" xfId="2" applyNumberFormat="1" applyFont="1"/>
    <xf numFmtId="10" fontId="3" fillId="2" borderId="1" xfId="3" applyNumberFormat="1"/>
    <xf numFmtId="0" fontId="3" fillId="2" borderId="1" xfId="3" applyAlignment="1">
      <alignment horizontal="center"/>
    </xf>
    <xf numFmtId="167" fontId="0" fillId="0" borderId="0" xfId="0" applyNumberFormat="1"/>
    <xf numFmtId="10" fontId="0" fillId="0" borderId="0" xfId="2" applyNumberFormat="1" applyFont="1"/>
    <xf numFmtId="2" fontId="0" fillId="0" borderId="0" xfId="2" applyNumberFormat="1" applyFont="1"/>
    <xf numFmtId="167" fontId="0" fillId="3" borderId="0" xfId="2" applyNumberFormat="1" applyFont="1" applyFill="1" applyAlignment="1">
      <alignment horizontal="center"/>
    </xf>
    <xf numFmtId="166" fontId="0" fillId="3" borderId="0" xfId="2" applyNumberFormat="1" applyFont="1" applyFill="1" applyAlignment="1">
      <alignment horizontal="center"/>
    </xf>
    <xf numFmtId="9" fontId="0" fillId="0" borderId="0" xfId="0" applyNumberFormat="1"/>
    <xf numFmtId="0" fontId="3" fillId="2" borderId="1" xfId="3"/>
    <xf numFmtId="0" fontId="0" fillId="0" borderId="0" xfId="0" applyAlignment="1">
      <alignment horizontal="left"/>
    </xf>
    <xf numFmtId="0" fontId="0" fillId="3" borderId="0" xfId="0" applyFill="1"/>
    <xf numFmtId="17" fontId="0" fillId="0" borderId="0" xfId="0" applyNumberFormat="1"/>
    <xf numFmtId="0" fontId="8" fillId="4" borderId="0" xfId="0" applyFont="1" applyFill="1"/>
    <xf numFmtId="0" fontId="0" fillId="0" borderId="0" xfId="0" quotePrefix="1"/>
    <xf numFmtId="0" fontId="0" fillId="0" borderId="3" xfId="0" quotePrefix="1" applyBorder="1"/>
    <xf numFmtId="0" fontId="7" fillId="0" borderId="0" xfId="0" quotePrefix="1" applyFont="1"/>
    <xf numFmtId="0" fontId="6" fillId="0" borderId="0" xfId="0" applyFont="1"/>
    <xf numFmtId="0" fontId="0" fillId="0" borderId="0" xfId="0" applyFont="1"/>
    <xf numFmtId="0" fontId="6" fillId="0" borderId="0" xfId="0" applyFont="1" applyAlignment="1">
      <alignment horizontal="left"/>
    </xf>
    <xf numFmtId="0" fontId="11" fillId="0" borderId="0" xfId="0" applyFont="1"/>
    <xf numFmtId="165" fontId="0" fillId="0" borderId="0" xfId="0" applyNumberFormat="1"/>
    <xf numFmtId="170" fontId="0" fillId="0" borderId="0" xfId="0" applyNumberFormat="1"/>
    <xf numFmtId="0" fontId="6" fillId="0" borderId="2" xfId="31"/>
    <xf numFmtId="0" fontId="6" fillId="0" borderId="0" xfId="31" applyFill="1" applyBorder="1"/>
    <xf numFmtId="170" fontId="0" fillId="0" borderId="0" xfId="30" applyNumberFormat="1" applyFont="1"/>
    <xf numFmtId="170" fontId="0" fillId="3" borderId="0" xfId="30" applyNumberFormat="1" applyFont="1" applyFill="1"/>
    <xf numFmtId="171" fontId="0" fillId="3" borderId="0" xfId="0" applyNumberFormat="1" applyFill="1"/>
    <xf numFmtId="170" fontId="0" fillId="3" borderId="0" xfId="0" applyNumberFormat="1" applyFill="1"/>
    <xf numFmtId="0" fontId="12" fillId="0" borderId="0" xfId="0" applyFont="1"/>
    <xf numFmtId="0" fontId="0" fillId="0" borderId="0" xfId="0" applyNumberFormat="1"/>
    <xf numFmtId="0" fontId="13" fillId="5" borderId="0" xfId="0" applyFont="1" applyFill="1" applyAlignment="1">
      <alignment horizontal="center"/>
    </xf>
    <xf numFmtId="0" fontId="13" fillId="5" borderId="0" xfId="0" applyFont="1" applyFill="1"/>
    <xf numFmtId="0" fontId="14" fillId="0" borderId="0" xfId="0" applyFont="1"/>
    <xf numFmtId="10" fontId="14" fillId="0" borderId="0" xfId="0" applyNumberFormat="1" applyFont="1"/>
    <xf numFmtId="0" fontId="13" fillId="5" borderId="0" xfId="0" applyFont="1" applyFill="1" applyAlignment="1">
      <alignment horizontal="left" vertical="center" wrapText="1"/>
    </xf>
    <xf numFmtId="0" fontId="15" fillId="0" borderId="0" xfId="0" applyFont="1"/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70" fontId="14" fillId="0" borderId="0" xfId="30" applyNumberFormat="1" applyFont="1"/>
    <xf numFmtId="170" fontId="14" fillId="0" borderId="0" xfId="0" applyNumberFormat="1" applyFont="1"/>
    <xf numFmtId="165" fontId="14" fillId="0" borderId="0" xfId="30" applyFont="1"/>
    <xf numFmtId="0" fontId="17" fillId="0" borderId="0" xfId="0" applyFont="1" applyFill="1" applyAlignment="1">
      <alignment horizontal="left" vertical="center" wrapText="1"/>
    </xf>
    <xf numFmtId="37" fontId="13" fillId="5" borderId="0" xfId="0" applyNumberFormat="1" applyFont="1" applyFill="1" applyAlignment="1">
      <alignment vertical="center"/>
    </xf>
    <xf numFmtId="172" fontId="14" fillId="0" borderId="0" xfId="30" applyNumberFormat="1" applyFont="1"/>
    <xf numFmtId="172" fontId="15" fillId="0" borderId="0" xfId="30" applyNumberFormat="1" applyFont="1" applyAlignment="1">
      <alignment horizontal="center"/>
    </xf>
    <xf numFmtId="172" fontId="18" fillId="0" borderId="0" xfId="30" applyNumberFormat="1" applyFont="1"/>
    <xf numFmtId="172" fontId="15" fillId="0" borderId="0" xfId="30" applyNumberFormat="1" applyFont="1"/>
    <xf numFmtId="172" fontId="15" fillId="0" borderId="5" xfId="30" applyNumberFormat="1" applyFont="1" applyBorder="1"/>
    <xf numFmtId="172" fontId="15" fillId="0" borderId="5" xfId="30" applyNumberFormat="1" applyFont="1" applyBorder="1" applyAlignment="1">
      <alignment horizontal="center"/>
    </xf>
    <xf numFmtId="172" fontId="17" fillId="0" borderId="5" xfId="30" applyNumberFormat="1" applyFont="1" applyBorder="1"/>
    <xf numFmtId="172" fontId="15" fillId="0" borderId="0" xfId="30" applyNumberFormat="1" applyFont="1" applyBorder="1"/>
    <xf numFmtId="172" fontId="15" fillId="0" borderId="0" xfId="30" applyNumberFormat="1" applyFont="1" applyBorder="1" applyAlignment="1">
      <alignment horizontal="center"/>
    </xf>
    <xf numFmtId="172" fontId="17" fillId="0" borderId="0" xfId="30" applyNumberFormat="1" applyFont="1" applyBorder="1"/>
    <xf numFmtId="0" fontId="14" fillId="0" borderId="0" xfId="0" applyFont="1" applyAlignment="1">
      <alignment horizontal="left"/>
    </xf>
    <xf numFmtId="172" fontId="15" fillId="0" borderId="6" xfId="30" applyNumberFormat="1" applyFont="1" applyBorder="1"/>
    <xf numFmtId="172" fontId="15" fillId="0" borderId="6" xfId="30" applyNumberFormat="1" applyFont="1" applyBorder="1" applyAlignment="1">
      <alignment horizontal="center"/>
    </xf>
    <xf numFmtId="172" fontId="17" fillId="0" borderId="6" xfId="30" applyNumberFormat="1" applyFont="1" applyBorder="1"/>
    <xf numFmtId="9" fontId="19" fillId="0" borderId="0" xfId="2" applyFont="1" applyBorder="1"/>
    <xf numFmtId="9" fontId="19" fillId="0" borderId="0" xfId="2" applyFont="1" applyBorder="1" applyAlignment="1">
      <alignment horizontal="center"/>
    </xf>
    <xf numFmtId="172" fontId="14" fillId="0" borderId="0" xfId="30" applyNumberFormat="1" applyFont="1" applyAlignment="1">
      <alignment horizontal="center"/>
    </xf>
    <xf numFmtId="172" fontId="14" fillId="0" borderId="5" xfId="30" applyNumberFormat="1" applyFont="1" applyBorder="1"/>
    <xf numFmtId="172" fontId="14" fillId="0" borderId="5" xfId="30" applyNumberFormat="1" applyFont="1" applyBorder="1" applyAlignment="1">
      <alignment horizontal="center"/>
    </xf>
    <xf numFmtId="172" fontId="14" fillId="0" borderId="0" xfId="30" applyNumberFormat="1" applyFont="1" applyBorder="1"/>
    <xf numFmtId="172" fontId="14" fillId="0" borderId="0" xfId="30" applyNumberFormat="1" applyFont="1" applyBorder="1" applyAlignment="1">
      <alignment horizontal="center"/>
    </xf>
    <xf numFmtId="172" fontId="15" fillId="0" borderId="4" xfId="30" applyNumberFormat="1" applyFont="1" applyBorder="1"/>
    <xf numFmtId="172" fontId="15" fillId="0" borderId="4" xfId="30" applyNumberFormat="1" applyFont="1" applyBorder="1" applyAlignment="1">
      <alignment horizontal="center"/>
    </xf>
    <xf numFmtId="172" fontId="17" fillId="0" borderId="4" xfId="30" applyNumberFormat="1" applyFont="1" applyBorder="1"/>
    <xf numFmtId="172" fontId="15" fillId="0" borderId="0" xfId="30" applyNumberFormat="1" applyFont="1" applyFill="1" applyBorder="1"/>
    <xf numFmtId="0" fontId="18" fillId="0" borderId="0" xfId="0" applyFont="1"/>
    <xf numFmtId="172" fontId="14" fillId="0" borderId="0" xfId="0" applyNumberFormat="1" applyFont="1"/>
    <xf numFmtId="172" fontId="20" fillId="0" borderId="0" xfId="30" applyNumberFormat="1" applyFont="1"/>
    <xf numFmtId="173" fontId="20" fillId="0" borderId="0" xfId="30" applyNumberFormat="1" applyFont="1"/>
    <xf numFmtId="170" fontId="21" fillId="0" borderId="0" xfId="30" applyNumberFormat="1" applyFont="1"/>
    <xf numFmtId="173" fontId="20" fillId="0" borderId="0" xfId="30" applyNumberFormat="1" applyFont="1" applyAlignment="1">
      <alignment horizontal="center"/>
    </xf>
    <xf numFmtId="172" fontId="18" fillId="6" borderId="0" xfId="30" applyNumberFormat="1" applyFont="1" applyFill="1"/>
    <xf numFmtId="172" fontId="17" fillId="6" borderId="5" xfId="30" applyNumberFormat="1" applyFont="1" applyFill="1" applyBorder="1"/>
    <xf numFmtId="172" fontId="17" fillId="6" borderId="0" xfId="30" applyNumberFormat="1" applyFont="1" applyFill="1" applyBorder="1"/>
    <xf numFmtId="172" fontId="18" fillId="6" borderId="0" xfId="30" applyNumberFormat="1" applyFont="1" applyFill="1" applyBorder="1"/>
    <xf numFmtId="172" fontId="17" fillId="6" borderId="6" xfId="30" applyNumberFormat="1" applyFont="1" applyFill="1" applyBorder="1"/>
    <xf numFmtId="9" fontId="19" fillId="6" borderId="0" xfId="2" applyFont="1" applyFill="1" applyBorder="1"/>
    <xf numFmtId="172" fontId="17" fillId="6" borderId="4" xfId="30" applyNumberFormat="1" applyFont="1" applyFill="1" applyBorder="1"/>
    <xf numFmtId="170" fontId="18" fillId="6" borderId="0" xfId="30" applyNumberFormat="1" applyFont="1" applyFill="1"/>
    <xf numFmtId="172" fontId="18" fillId="6" borderId="0" xfId="0" applyNumberFormat="1" applyFont="1" applyFill="1"/>
    <xf numFmtId="0" fontId="18" fillId="6" borderId="0" xfId="0" applyFont="1" applyFill="1"/>
    <xf numFmtId="170" fontId="21" fillId="6" borderId="0" xfId="30" applyNumberFormat="1" applyFont="1" applyFill="1"/>
    <xf numFmtId="172" fontId="18" fillId="6" borderId="0" xfId="30" applyNumberFormat="1" applyFont="1" applyFill="1" applyAlignment="1">
      <alignment horizontal="center"/>
    </xf>
    <xf numFmtId="174" fontId="21" fillId="6" borderId="0" xfId="30" applyNumberFormat="1" applyFont="1" applyFill="1"/>
    <xf numFmtId="168" fontId="13" fillId="5" borderId="3" xfId="0" applyNumberFormat="1" applyFont="1" applyFill="1" applyBorder="1" applyAlignment="1">
      <alignment horizontal="center"/>
    </xf>
    <xf numFmtId="9" fontId="14" fillId="0" borderId="0" xfId="2" applyFont="1"/>
    <xf numFmtId="0" fontId="14" fillId="0" borderId="0" xfId="0" quotePrefix="1" applyFont="1"/>
    <xf numFmtId="0" fontId="14" fillId="0" borderId="3" xfId="0" quotePrefix="1" applyFont="1" applyBorder="1"/>
    <xf numFmtId="169" fontId="14" fillId="0" borderId="3" xfId="30" applyNumberFormat="1" applyFont="1" applyFill="1" applyBorder="1"/>
    <xf numFmtId="1" fontId="14" fillId="0" borderId="3" xfId="30" applyNumberFormat="1" applyFont="1" applyFill="1" applyBorder="1"/>
    <xf numFmtId="0" fontId="15" fillId="0" borderId="0" xfId="0" quotePrefix="1" applyFont="1"/>
    <xf numFmtId="169" fontId="15" fillId="0" borderId="0" xfId="30" applyNumberFormat="1" applyFont="1"/>
    <xf numFmtId="165" fontId="14" fillId="0" borderId="0" xfId="0" applyNumberFormat="1" applyFont="1"/>
    <xf numFmtId="0" fontId="15" fillId="0" borderId="2" xfId="31" applyFont="1"/>
    <xf numFmtId="0" fontId="23" fillId="0" borderId="0" xfId="0" applyFont="1"/>
    <xf numFmtId="0" fontId="15" fillId="0" borderId="0" xfId="0" applyFont="1" applyAlignment="1">
      <alignment horizontal="left"/>
    </xf>
    <xf numFmtId="9" fontId="14" fillId="0" borderId="0" xfId="0" applyNumberFormat="1" applyFont="1"/>
    <xf numFmtId="170" fontId="14" fillId="0" borderId="0" xfId="30" applyNumberFormat="1" applyFont="1" applyAlignment="1">
      <alignment horizontal="left" indent="1"/>
    </xf>
    <xf numFmtId="0" fontId="14" fillId="0" borderId="7" xfId="0" applyFont="1" applyBorder="1"/>
    <xf numFmtId="9" fontId="14" fillId="0" borderId="7" xfId="2" applyFont="1" applyBorder="1"/>
    <xf numFmtId="9" fontId="14" fillId="0" borderId="7" xfId="0" applyNumberFormat="1" applyFont="1" applyBorder="1"/>
    <xf numFmtId="166" fontId="14" fillId="0" borderId="7" xfId="2" applyNumberFormat="1" applyFont="1" applyBorder="1"/>
    <xf numFmtId="0" fontId="13" fillId="5" borderId="7" xfId="0" applyFont="1" applyFill="1" applyBorder="1"/>
    <xf numFmtId="0" fontId="22" fillId="5" borderId="7" xfId="0" applyFont="1" applyFill="1" applyBorder="1"/>
    <xf numFmtId="17" fontId="13" fillId="5" borderId="0" xfId="0" applyNumberFormat="1" applyFont="1" applyFill="1" applyAlignment="1">
      <alignment horizontal="center"/>
    </xf>
    <xf numFmtId="0" fontId="14" fillId="0" borderId="0" xfId="0" applyFont="1" applyFill="1"/>
    <xf numFmtId="169" fontId="14" fillId="0" borderId="0" xfId="30" applyNumberFormat="1" applyFont="1" applyFill="1"/>
    <xf numFmtId="0" fontId="14" fillId="0" borderId="0" xfId="0" quotePrefix="1" applyFont="1" applyFill="1"/>
    <xf numFmtId="175" fontId="13" fillId="5" borderId="0" xfId="0" applyNumberFormat="1" applyFont="1" applyFill="1" applyAlignment="1">
      <alignment horizontal="center" vertical="center"/>
    </xf>
    <xf numFmtId="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2" borderId="1" xfId="3" applyAlignment="1">
      <alignment horizontal="center"/>
    </xf>
    <xf numFmtId="166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3" borderId="0" xfId="0" applyFill="1" applyAlignment="1">
      <alignment horizontal="center" wrapText="1"/>
    </xf>
    <xf numFmtId="0" fontId="12" fillId="0" borderId="0" xfId="0" applyFont="1" applyAlignment="1">
      <alignment horizontal="center"/>
    </xf>
  </cellXfs>
  <cellStyles count="94">
    <cellStyle name="Comma" xfId="30" builtinId="3"/>
    <cellStyle name="Currency" xfId="1" builtinId="4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Input" xfId="3" builtinId="20"/>
    <cellStyle name="Normal" xfId="0" builtinId="0"/>
    <cellStyle name="Percent" xfId="2" builtinId="5"/>
    <cellStyle name="Total" xfId="31" builtinId="2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 b="1"/>
              <a:t>Gross and Net profit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SA"/>
        </a:p>
      </c:txPr>
    </c:title>
    <c:autoTitleDeleted val="0"/>
    <c:plotArea>
      <c:layout>
        <c:manualLayout>
          <c:layoutTarget val="inner"/>
          <c:xMode val="edge"/>
          <c:yMode val="edge"/>
          <c:x val="7.8900481189851268E-2"/>
          <c:y val="0.17171296296296298"/>
          <c:w val="0.88498840769903764"/>
          <c:h val="0.61498432487605714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Financials!$A$15</c:f>
              <c:strCache>
                <c:ptCount val="1"/>
                <c:pt idx="0">
                  <c:v> Gross Profit 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Financials!$D$2:$F$2</c:f>
              <c:numCache>
                <c:formatCode>[$-409]mmmm\-yy;@</c:formatCode>
                <c:ptCount val="3"/>
                <c:pt idx="0">
                  <c:v>44287</c:v>
                </c:pt>
                <c:pt idx="1">
                  <c:v>44652</c:v>
                </c:pt>
                <c:pt idx="2">
                  <c:v>45017</c:v>
                </c:pt>
              </c:numCache>
            </c:numRef>
          </c:cat>
          <c:val>
            <c:numRef>
              <c:f>Financials!$D$15:$F$15</c:f>
              <c:numCache>
                <c:formatCode>_-* #,##0_-;\(#,##0\)_-;_-* "-"_-;_-@_-</c:formatCode>
                <c:ptCount val="3"/>
                <c:pt idx="0">
                  <c:v>768009.88319999981</c:v>
                </c:pt>
                <c:pt idx="1">
                  <c:v>2342863.0839999998</c:v>
                </c:pt>
                <c:pt idx="2">
                  <c:v>6534659.2432000022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38-45BE-AECB-00A06840E69C}"/>
            </c:ext>
          </c:extLst>
        </c:ser>
        <c:ser>
          <c:idx val="3"/>
          <c:order val="3"/>
          <c:tx>
            <c:strRef>
              <c:f>Financials!$A$32</c:f>
              <c:strCache>
                <c:ptCount val="1"/>
                <c:pt idx="0">
                  <c:v> Net Earnings 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2.499999999999989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38-45BE-AECB-00A06840E69C}"/>
                </c:ext>
              </c:extLst>
            </c:dLbl>
            <c:dLbl>
              <c:idx val="2"/>
              <c:layout>
                <c:manualLayout>
                  <c:x val="1.6666666666666767E-2"/>
                  <c:y val="4.2437781360066642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38-45BE-AECB-00A06840E6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Financials!$D$2:$F$2</c:f>
              <c:numCache>
                <c:formatCode>[$-409]mmmm\-yy;@</c:formatCode>
                <c:ptCount val="3"/>
                <c:pt idx="0">
                  <c:v>44287</c:v>
                </c:pt>
                <c:pt idx="1">
                  <c:v>44652</c:v>
                </c:pt>
                <c:pt idx="2">
                  <c:v>45017</c:v>
                </c:pt>
              </c:numCache>
            </c:numRef>
          </c:cat>
          <c:val>
            <c:numRef>
              <c:f>Financials!$D$32:$F$32</c:f>
              <c:numCache>
                <c:formatCode>_-* #,##0_-;\(#,##0\)_-;_-* "-"_-;_-@_-</c:formatCode>
                <c:ptCount val="3"/>
                <c:pt idx="0">
                  <c:v>-33931.152720000166</c:v>
                </c:pt>
                <c:pt idx="1">
                  <c:v>1325052.6415199998</c:v>
                </c:pt>
                <c:pt idx="2">
                  <c:v>5057480.6781120021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C38-45BE-AECB-00A06840E69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15337743"/>
        <c:axId val="1047336943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Financials!$A$8</c15:sqref>
                        </c15:formulaRef>
                      </c:ext>
                    </c:extLst>
                    <c:strCache>
                      <c:ptCount val="1"/>
                      <c:pt idx="0">
                        <c:v> Total Reveneue </c:v>
                      </c:pt>
                    </c:strCache>
                  </c:strRef>
                </c:tx>
                <c:spPr>
                  <a:solidFill>
                    <a:schemeClr val="accent5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Century Gothic" panose="020B0502020202020204" pitchFamily="34" charset="0"/>
                          <a:ea typeface="+mn-ea"/>
                          <a:cs typeface="+mn-cs"/>
                        </a:defRPr>
                      </a:pPr>
                      <a:endParaRPr lang="en-SA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Financials!$D$2:$F$2</c15:sqref>
                        </c15:formulaRef>
                      </c:ext>
                    </c:extLst>
                    <c:numCache>
                      <c:formatCode>[$-409]mmmm\-yy;@</c:formatCode>
                      <c:ptCount val="3"/>
                      <c:pt idx="0">
                        <c:v>44287</c:v>
                      </c:pt>
                      <c:pt idx="1">
                        <c:v>44652</c:v>
                      </c:pt>
                      <c:pt idx="2">
                        <c:v>45017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Financials!$D$8:$F$8</c15:sqref>
                        </c15:formulaRef>
                      </c:ext>
                    </c:extLst>
                    <c:numCache>
                      <c:formatCode>_-* #,##0_-;\(#,##0\)_-;_-* "-"_-;_-@_-</c:formatCode>
                      <c:ptCount val="3"/>
                      <c:pt idx="0">
                        <c:v>1454967.8399999999</c:v>
                      </c:pt>
                      <c:pt idx="1">
                        <c:v>4486430.8</c:v>
                      </c:pt>
                      <c:pt idx="2">
                        <c:v>12570499.840000002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FC38-45BE-AECB-00A06840E69C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Financials!$A$25</c15:sqref>
                        </c15:formulaRef>
                      </c:ext>
                    </c:extLst>
                    <c:strCache>
                      <c:ptCount val="1"/>
                      <c:pt idx="0">
                        <c:v> EBIT 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Century Gothic" panose="020B0502020202020204" pitchFamily="34" charset="0"/>
                          <a:ea typeface="+mn-ea"/>
                          <a:cs typeface="+mn-cs"/>
                        </a:defRPr>
                      </a:pPr>
                      <a:endParaRPr lang="en-SA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Financials!$D$2:$F$2</c15:sqref>
                        </c15:formulaRef>
                      </c:ext>
                    </c:extLst>
                    <c:numCache>
                      <c:formatCode>[$-409]mmmm\-yy;@</c:formatCode>
                      <c:ptCount val="3"/>
                      <c:pt idx="0">
                        <c:v>44287</c:v>
                      </c:pt>
                      <c:pt idx="1">
                        <c:v>44652</c:v>
                      </c:pt>
                      <c:pt idx="2">
                        <c:v>45017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Financials!$D$25:$F$25</c15:sqref>
                        </c15:formulaRef>
                      </c:ext>
                    </c:extLst>
                    <c:numCache>
                      <c:formatCode>_-* #,##0_-;\(#,##0\)_-;_-* "-"_-;_-@_-</c:formatCode>
                      <c:ptCount val="3"/>
                      <c:pt idx="0">
                        <c:v>-37701.280800000182</c:v>
                      </c:pt>
                      <c:pt idx="1">
                        <c:v>1472280.7127999999</c:v>
                      </c:pt>
                      <c:pt idx="2">
                        <c:v>5619422.975680002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FC38-45BE-AECB-00A06840E69C}"/>
                  </c:ext>
                </c:extLst>
              </c15:ser>
            </c15:filteredBarSeries>
          </c:ext>
        </c:extLst>
      </c:barChart>
      <c:catAx>
        <c:axId val="1215337743"/>
        <c:scaling>
          <c:orientation val="minMax"/>
        </c:scaling>
        <c:delete val="0"/>
        <c:axPos val="b"/>
        <c:numFmt formatCode="[$-409]mmmm\-yy;@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SA"/>
          </a:p>
        </c:txPr>
        <c:crossAx val="1047336943"/>
        <c:crosses val="autoZero"/>
        <c:auto val="0"/>
        <c:lblAlgn val="ctr"/>
        <c:lblOffset val="100"/>
        <c:noMultiLvlLbl val="1"/>
      </c:catAx>
      <c:valAx>
        <c:axId val="1047336943"/>
        <c:scaling>
          <c:orientation val="minMax"/>
        </c:scaling>
        <c:delete val="1"/>
        <c:axPos val="l"/>
        <c:numFmt formatCode="_-* #,##0_-;\(#,##0\)_-;_-* &quot;-&quot;_-;_-@_-" sourceLinked="1"/>
        <c:majorTickMark val="out"/>
        <c:minorTickMark val="none"/>
        <c:tickLblPos val="nextTo"/>
        <c:crossAx val="12153377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S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Century Gothic" panose="020B0502020202020204" pitchFamily="34" charset="0"/>
        </a:defRPr>
      </a:pPr>
      <a:endParaRPr lang="en-S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 b="1"/>
              <a:t>Cash Balance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SA"/>
        </a:p>
      </c:txPr>
    </c:title>
    <c:autoTitleDeleted val="0"/>
    <c:plotArea>
      <c:layout>
        <c:manualLayout>
          <c:layoutTarget val="inner"/>
          <c:xMode val="edge"/>
          <c:yMode val="edge"/>
          <c:x val="7.8900481189851268E-2"/>
          <c:y val="0.17171296296296298"/>
          <c:w val="0.88498840769903764"/>
          <c:h val="0.61498432487605714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Financials!$A$40</c:f>
              <c:strCache>
                <c:ptCount val="1"/>
                <c:pt idx="0">
                  <c:v> Cash 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Financials!$D$2:$F$2</c:f>
              <c:numCache>
                <c:formatCode>[$-409]mmmm\-yy;@</c:formatCode>
                <c:ptCount val="3"/>
                <c:pt idx="0">
                  <c:v>44287</c:v>
                </c:pt>
                <c:pt idx="1">
                  <c:v>44652</c:v>
                </c:pt>
                <c:pt idx="2">
                  <c:v>45017</c:v>
                </c:pt>
              </c:numCache>
            </c:numRef>
          </c:cat>
          <c:val>
            <c:numRef>
              <c:f>Financials!$D$40:$F$40</c:f>
              <c:numCache>
                <c:formatCode>_-* #,##0_-;\(#,##0\)_-;_-* "-"_-;_-@_-</c:formatCode>
                <c:ptCount val="3"/>
                <c:pt idx="0">
                  <c:v>106523.65819762537</c:v>
                </c:pt>
                <c:pt idx="1">
                  <c:v>682543.90876277606</c:v>
                </c:pt>
                <c:pt idx="2">
                  <c:v>3285694.1311961878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6E-4003-B2DF-E2B6DFF369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15337743"/>
        <c:axId val="1047336943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Financials!$A$8</c15:sqref>
                        </c15:formulaRef>
                      </c:ext>
                    </c:extLst>
                    <c:strCache>
                      <c:ptCount val="1"/>
                      <c:pt idx="0">
                        <c:v> Total Reveneue </c:v>
                      </c:pt>
                    </c:strCache>
                  </c:strRef>
                </c:tx>
                <c:spPr>
                  <a:solidFill>
                    <a:schemeClr val="accent5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Century Gothic" panose="020B0502020202020204" pitchFamily="34" charset="0"/>
                          <a:ea typeface="+mn-ea"/>
                          <a:cs typeface="+mn-cs"/>
                        </a:defRPr>
                      </a:pPr>
                      <a:endParaRPr lang="en-SA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Financials!$D$2:$F$2</c15:sqref>
                        </c15:formulaRef>
                      </c:ext>
                    </c:extLst>
                    <c:numCache>
                      <c:formatCode>[$-409]mmmm\-yy;@</c:formatCode>
                      <c:ptCount val="3"/>
                      <c:pt idx="0">
                        <c:v>44287</c:v>
                      </c:pt>
                      <c:pt idx="1">
                        <c:v>44652</c:v>
                      </c:pt>
                      <c:pt idx="2">
                        <c:v>45017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Financials!$D$8:$F$8</c15:sqref>
                        </c15:formulaRef>
                      </c:ext>
                    </c:extLst>
                    <c:numCache>
                      <c:formatCode>_-* #,##0_-;\(#,##0\)_-;_-* "-"_-;_-@_-</c:formatCode>
                      <c:ptCount val="3"/>
                      <c:pt idx="0">
                        <c:v>1454967.8399999999</c:v>
                      </c:pt>
                      <c:pt idx="1">
                        <c:v>4486430.8</c:v>
                      </c:pt>
                      <c:pt idx="2">
                        <c:v>12570499.840000002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766E-4003-B2DF-E2B6DFF3691E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Financials!$A$25</c15:sqref>
                        </c15:formulaRef>
                      </c:ext>
                    </c:extLst>
                    <c:strCache>
                      <c:ptCount val="1"/>
                      <c:pt idx="0">
                        <c:v> EBIT 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Century Gothic" panose="020B0502020202020204" pitchFamily="34" charset="0"/>
                          <a:ea typeface="+mn-ea"/>
                          <a:cs typeface="+mn-cs"/>
                        </a:defRPr>
                      </a:pPr>
                      <a:endParaRPr lang="en-SA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Financials!$D$2:$F$2</c15:sqref>
                        </c15:formulaRef>
                      </c:ext>
                    </c:extLst>
                    <c:numCache>
                      <c:formatCode>[$-409]mmmm\-yy;@</c:formatCode>
                      <c:ptCount val="3"/>
                      <c:pt idx="0">
                        <c:v>44287</c:v>
                      </c:pt>
                      <c:pt idx="1">
                        <c:v>44652</c:v>
                      </c:pt>
                      <c:pt idx="2">
                        <c:v>45017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Financials!$D$25:$F$25</c15:sqref>
                        </c15:formulaRef>
                      </c:ext>
                    </c:extLst>
                    <c:numCache>
                      <c:formatCode>_-* #,##0_-;\(#,##0\)_-;_-* "-"_-;_-@_-</c:formatCode>
                      <c:ptCount val="3"/>
                      <c:pt idx="0">
                        <c:v>-37701.280800000182</c:v>
                      </c:pt>
                      <c:pt idx="1">
                        <c:v>1472280.7127999999</c:v>
                      </c:pt>
                      <c:pt idx="2">
                        <c:v>5619422.975680002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766E-4003-B2DF-E2B6DFF3691E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Financials!$A$32</c15:sqref>
                        </c15:formulaRef>
                      </c:ext>
                    </c:extLst>
                    <c:strCache>
                      <c:ptCount val="1"/>
                      <c:pt idx="0">
                        <c:v> Net Earnings 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dLbl>
                    <c:idx val="1"/>
                    <c:layout>
                      <c:manualLayout>
                        <c:x val="2.4999999999999897E-2"/>
                        <c:y val="0"/>
                      </c:manualLayout>
                    </c:layout>
                    <c:dLblPos val="out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3-766E-4003-B2DF-E2B6DFF3691E}"/>
                      </c:ext>
                    </c:extLst>
                  </c:dLbl>
                  <c:dLbl>
                    <c:idx val="2"/>
                    <c:layout>
                      <c:manualLayout>
                        <c:x val="1.6666666666666767E-2"/>
                        <c:y val="4.2437781360066642E-17"/>
                      </c:manualLayout>
                    </c:layout>
                    <c:dLblPos val="out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4-766E-4003-B2DF-E2B6DFF3691E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Century Gothic" panose="020B0502020202020204" pitchFamily="34" charset="0"/>
                          <a:ea typeface="+mn-ea"/>
                          <a:cs typeface="+mn-cs"/>
                        </a:defRPr>
                      </a:pPr>
                      <a:endParaRPr lang="en-SA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Financials!$D$2:$F$2</c15:sqref>
                        </c15:formulaRef>
                      </c:ext>
                    </c:extLst>
                    <c:numCache>
                      <c:formatCode>[$-409]mmmm\-yy;@</c:formatCode>
                      <c:ptCount val="3"/>
                      <c:pt idx="0">
                        <c:v>44287</c:v>
                      </c:pt>
                      <c:pt idx="1">
                        <c:v>44652</c:v>
                      </c:pt>
                      <c:pt idx="2">
                        <c:v>45017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Financials!$D$32:$F$32</c15:sqref>
                        </c15:formulaRef>
                      </c:ext>
                    </c:extLst>
                    <c:numCache>
                      <c:formatCode>_-* #,##0_-;\(#,##0\)_-;_-* "-"_-;_-@_-</c:formatCode>
                      <c:ptCount val="3"/>
                      <c:pt idx="0">
                        <c:v>-33931.152720000166</c:v>
                      </c:pt>
                      <c:pt idx="1">
                        <c:v>1325052.6415199998</c:v>
                      </c:pt>
                      <c:pt idx="2">
                        <c:v>5057480.6781120021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766E-4003-B2DF-E2B6DFF3691E}"/>
                  </c:ext>
                </c:extLst>
              </c15:ser>
            </c15:filteredBarSeries>
          </c:ext>
        </c:extLst>
      </c:barChart>
      <c:catAx>
        <c:axId val="1215337743"/>
        <c:scaling>
          <c:orientation val="minMax"/>
        </c:scaling>
        <c:delete val="0"/>
        <c:axPos val="b"/>
        <c:numFmt formatCode="[$-409]mmmm\-yy;@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SA"/>
          </a:p>
        </c:txPr>
        <c:crossAx val="1047336943"/>
        <c:crosses val="autoZero"/>
        <c:auto val="0"/>
        <c:lblAlgn val="ctr"/>
        <c:lblOffset val="100"/>
        <c:noMultiLvlLbl val="1"/>
      </c:catAx>
      <c:valAx>
        <c:axId val="1047336943"/>
        <c:scaling>
          <c:orientation val="minMax"/>
        </c:scaling>
        <c:delete val="1"/>
        <c:axPos val="l"/>
        <c:numFmt formatCode="_-* #,##0_-;\(#,##0\)_-;_-* &quot;-&quot;_-;_-@_-" sourceLinked="1"/>
        <c:majorTickMark val="out"/>
        <c:minorTickMark val="none"/>
        <c:tickLblPos val="nextTo"/>
        <c:crossAx val="12153377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Century Gothic" panose="020B0502020202020204" pitchFamily="34" charset="0"/>
        </a:defRPr>
      </a:pPr>
      <a:endParaRPr lang="en-S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SA"/>
        </a:p>
      </c:txPr>
    </c:title>
    <c:autoTitleDeleted val="0"/>
    <c:plotArea>
      <c:layout>
        <c:manualLayout>
          <c:layoutTarget val="inner"/>
          <c:xMode val="edge"/>
          <c:yMode val="edge"/>
          <c:x val="7.8900481189851268E-2"/>
          <c:y val="0.17171296296296298"/>
          <c:w val="0.88498840769903764"/>
          <c:h val="0.614984324876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Ratios!$A$4</c:f>
              <c:strCache>
                <c:ptCount val="1"/>
                <c:pt idx="0">
                  <c:v>Gross Margin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Ratios!$C$1:$E$1</c:f>
              <c:numCache>
                <c:formatCode>[$-409]mmmm\-yy;@</c:formatCode>
                <c:ptCount val="3"/>
                <c:pt idx="0">
                  <c:v>44287</c:v>
                </c:pt>
                <c:pt idx="1">
                  <c:v>44652</c:v>
                </c:pt>
                <c:pt idx="2">
                  <c:v>45017</c:v>
                </c:pt>
              </c:numCache>
            </c:numRef>
          </c:cat>
          <c:val>
            <c:numRef>
              <c:f>Ratios!$C$4:$E$4</c:f>
              <c:numCache>
                <c:formatCode>0%</c:formatCode>
                <c:ptCount val="3"/>
                <c:pt idx="0">
                  <c:v>0.52785351131884806</c:v>
                </c:pt>
                <c:pt idx="1">
                  <c:v>0.52221090404425718</c:v>
                </c:pt>
                <c:pt idx="2">
                  <c:v>0.51984084375120609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69-417E-9D10-B984B1CA3F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15337743"/>
        <c:axId val="1047336943"/>
      </c:barChart>
      <c:catAx>
        <c:axId val="1215337743"/>
        <c:scaling>
          <c:orientation val="minMax"/>
        </c:scaling>
        <c:delete val="0"/>
        <c:axPos val="b"/>
        <c:numFmt formatCode="[$-409]mmmm\-yy;@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SA"/>
          </a:p>
        </c:txPr>
        <c:crossAx val="1047336943"/>
        <c:crosses val="autoZero"/>
        <c:auto val="0"/>
        <c:lblAlgn val="ctr"/>
        <c:lblOffset val="100"/>
        <c:noMultiLvlLbl val="1"/>
      </c:catAx>
      <c:valAx>
        <c:axId val="1047336943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2153377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Century Gothic" panose="020B0502020202020204" pitchFamily="34" charset="0"/>
        </a:defRPr>
      </a:pPr>
      <a:endParaRPr lang="en-S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SA"/>
        </a:p>
      </c:txPr>
    </c:title>
    <c:autoTitleDeleted val="0"/>
    <c:plotArea>
      <c:layout>
        <c:manualLayout>
          <c:layoutTarget val="inner"/>
          <c:xMode val="edge"/>
          <c:yMode val="edge"/>
          <c:x val="7.8900481189851268E-2"/>
          <c:y val="0.17171296296296298"/>
          <c:w val="0.88498840769903764"/>
          <c:h val="0.614984324876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Ratios!$A$5</c:f>
              <c:strCache>
                <c:ptCount val="1"/>
                <c:pt idx="0">
                  <c:v>EBIT Margin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Ratios!$C$1:$E$1</c:f>
              <c:numCache>
                <c:formatCode>[$-409]mmmm\-yy;@</c:formatCode>
                <c:ptCount val="3"/>
                <c:pt idx="0">
                  <c:v>44287</c:v>
                </c:pt>
                <c:pt idx="1">
                  <c:v>44652</c:v>
                </c:pt>
                <c:pt idx="2">
                  <c:v>45017</c:v>
                </c:pt>
              </c:numCache>
            </c:numRef>
          </c:cat>
          <c:val>
            <c:numRef>
              <c:f>Ratios!$C$5:$E$5</c:f>
              <c:numCache>
                <c:formatCode>0%</c:formatCode>
                <c:ptCount val="3"/>
                <c:pt idx="0">
                  <c:v>-2.5912105933558083E-2</c:v>
                </c:pt>
                <c:pt idx="1">
                  <c:v>0.32816302723314039</c:v>
                </c:pt>
                <c:pt idx="2">
                  <c:v>0.44703258002507568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20-46B7-A03C-4E457D28A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15337743"/>
        <c:axId val="1047336943"/>
      </c:barChart>
      <c:catAx>
        <c:axId val="1215337743"/>
        <c:scaling>
          <c:orientation val="minMax"/>
        </c:scaling>
        <c:delete val="0"/>
        <c:axPos val="b"/>
        <c:numFmt formatCode="[$-409]mmmm\-yy;@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SA"/>
          </a:p>
        </c:txPr>
        <c:crossAx val="1047336943"/>
        <c:crosses val="autoZero"/>
        <c:auto val="0"/>
        <c:lblAlgn val="ctr"/>
        <c:lblOffset val="100"/>
        <c:noMultiLvlLbl val="1"/>
      </c:catAx>
      <c:valAx>
        <c:axId val="1047336943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2153377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Century Gothic" panose="020B0502020202020204" pitchFamily="34" charset="0"/>
        </a:defRPr>
      </a:pPr>
      <a:endParaRPr lang="en-S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SA"/>
        </a:p>
      </c:txPr>
    </c:title>
    <c:autoTitleDeleted val="0"/>
    <c:plotArea>
      <c:layout>
        <c:manualLayout>
          <c:layoutTarget val="inner"/>
          <c:xMode val="edge"/>
          <c:yMode val="edge"/>
          <c:x val="7.8900481189851268E-2"/>
          <c:y val="0.17171296296296298"/>
          <c:w val="0.88498840769903764"/>
          <c:h val="0.614984324876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Ratios!$A$6</c:f>
              <c:strCache>
                <c:ptCount val="1"/>
                <c:pt idx="0">
                  <c:v>Net Margin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Ratios!$C$1:$E$1</c:f>
              <c:numCache>
                <c:formatCode>[$-409]mmmm\-yy;@</c:formatCode>
                <c:ptCount val="3"/>
                <c:pt idx="0">
                  <c:v>44287</c:v>
                </c:pt>
                <c:pt idx="1">
                  <c:v>44652</c:v>
                </c:pt>
                <c:pt idx="2">
                  <c:v>45017</c:v>
                </c:pt>
              </c:numCache>
            </c:numRef>
          </c:cat>
          <c:val>
            <c:numRef>
              <c:f>Ratios!$C$6:$E$6</c:f>
              <c:numCache>
                <c:formatCode>0%</c:formatCode>
                <c:ptCount val="3"/>
                <c:pt idx="0">
                  <c:v>-2.3320895340202274E-2</c:v>
                </c:pt>
                <c:pt idx="1">
                  <c:v>0.29534672450982635</c:v>
                </c:pt>
                <c:pt idx="2">
                  <c:v>0.40232932202256816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CC-4ECF-A6C2-30CAA3322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15337743"/>
        <c:axId val="1047336943"/>
      </c:barChart>
      <c:catAx>
        <c:axId val="1215337743"/>
        <c:scaling>
          <c:orientation val="minMax"/>
        </c:scaling>
        <c:delete val="0"/>
        <c:axPos val="b"/>
        <c:numFmt formatCode="[$-409]mmmm\-yy;@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SA"/>
          </a:p>
        </c:txPr>
        <c:crossAx val="1047336943"/>
        <c:crosses val="autoZero"/>
        <c:auto val="0"/>
        <c:lblAlgn val="ctr"/>
        <c:lblOffset val="100"/>
        <c:noMultiLvlLbl val="1"/>
      </c:catAx>
      <c:valAx>
        <c:axId val="1047336943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2153377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Century Gothic" panose="020B0502020202020204" pitchFamily="34" charset="0"/>
        </a:defRPr>
      </a:pPr>
      <a:endParaRPr lang="en-SA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SA"/>
        </a:p>
      </c:txPr>
    </c:title>
    <c:autoTitleDeleted val="0"/>
    <c:plotArea>
      <c:layout>
        <c:manualLayout>
          <c:layoutTarget val="inner"/>
          <c:xMode val="edge"/>
          <c:yMode val="edge"/>
          <c:x val="7.8900481189851268E-2"/>
          <c:y val="0.17171296296296298"/>
          <c:w val="0.88498840769903764"/>
          <c:h val="0.614984324876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Ratios!$A$7</c:f>
              <c:strCache>
                <c:ptCount val="1"/>
                <c:pt idx="0">
                  <c:v>Return on Assets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Ratios!$C$1:$E$1</c:f>
              <c:numCache>
                <c:formatCode>[$-409]mmmm\-yy;@</c:formatCode>
                <c:ptCount val="3"/>
                <c:pt idx="0">
                  <c:v>44287</c:v>
                </c:pt>
                <c:pt idx="1">
                  <c:v>44652</c:v>
                </c:pt>
                <c:pt idx="2">
                  <c:v>45017</c:v>
                </c:pt>
              </c:numCache>
            </c:numRef>
          </c:cat>
          <c:val>
            <c:numRef>
              <c:f>Ratios!$C$7:$E$7</c:f>
              <c:numCache>
                <c:formatCode>0%</c:formatCode>
                <c:ptCount val="3"/>
                <c:pt idx="0">
                  <c:v>-8.0304500895515621E-2</c:v>
                </c:pt>
                <c:pt idx="1">
                  <c:v>0.99085352263996362</c:v>
                </c:pt>
                <c:pt idx="2">
                  <c:v>1.0779667275597113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45-43A8-BA86-441F3FA73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15337743"/>
        <c:axId val="1047336943"/>
      </c:barChart>
      <c:catAx>
        <c:axId val="1215337743"/>
        <c:scaling>
          <c:orientation val="minMax"/>
        </c:scaling>
        <c:delete val="0"/>
        <c:axPos val="b"/>
        <c:numFmt formatCode="[$-409]mmmm\-yy;@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SA"/>
          </a:p>
        </c:txPr>
        <c:crossAx val="1047336943"/>
        <c:crosses val="autoZero"/>
        <c:auto val="0"/>
        <c:lblAlgn val="ctr"/>
        <c:lblOffset val="100"/>
        <c:noMultiLvlLbl val="1"/>
      </c:catAx>
      <c:valAx>
        <c:axId val="1047336943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2153377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Century Gothic" panose="020B0502020202020204" pitchFamily="34" charset="0"/>
        </a:defRPr>
      </a:pPr>
      <a:endParaRPr lang="en-SA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SA"/>
        </a:p>
      </c:txPr>
    </c:title>
    <c:autoTitleDeleted val="0"/>
    <c:plotArea>
      <c:layout>
        <c:manualLayout>
          <c:layoutTarget val="inner"/>
          <c:xMode val="edge"/>
          <c:yMode val="edge"/>
          <c:x val="7.8900481189851268E-2"/>
          <c:y val="0.17171296296296298"/>
          <c:w val="0.88498840769903764"/>
          <c:h val="0.614984324876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Ratios!$A$8</c:f>
              <c:strCache>
                <c:ptCount val="1"/>
                <c:pt idx="0">
                  <c:v>Return on Equity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Ratios!$C$1:$E$1</c:f>
              <c:numCache>
                <c:formatCode>[$-409]mmmm\-yy;@</c:formatCode>
                <c:ptCount val="3"/>
                <c:pt idx="0">
                  <c:v>44287</c:v>
                </c:pt>
                <c:pt idx="1">
                  <c:v>44652</c:v>
                </c:pt>
                <c:pt idx="2">
                  <c:v>45017</c:v>
                </c:pt>
              </c:numCache>
            </c:numRef>
          </c:cat>
          <c:val>
            <c:numRef>
              <c:f>Ratios!$C$8:$E$8</c:f>
              <c:numCache>
                <c:formatCode>0%</c:formatCode>
                <c:ptCount val="3"/>
                <c:pt idx="0">
                  <c:v>-9.2690631754432817E-2</c:v>
                </c:pt>
                <c:pt idx="1">
                  <c:v>1.1412041583848873</c:v>
                </c:pt>
                <c:pt idx="2">
                  <c:v>1.2054280989187842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5B-45BF-9C6F-C198EDC2F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15337743"/>
        <c:axId val="1047336943"/>
      </c:barChart>
      <c:catAx>
        <c:axId val="1215337743"/>
        <c:scaling>
          <c:orientation val="minMax"/>
        </c:scaling>
        <c:delete val="0"/>
        <c:axPos val="b"/>
        <c:numFmt formatCode="[$-409]mmmm\-yy;@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SA"/>
          </a:p>
        </c:txPr>
        <c:crossAx val="1047336943"/>
        <c:crosses val="autoZero"/>
        <c:auto val="0"/>
        <c:lblAlgn val="ctr"/>
        <c:lblOffset val="100"/>
        <c:noMultiLvlLbl val="1"/>
      </c:catAx>
      <c:valAx>
        <c:axId val="1047336943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2153377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Century Gothic" panose="020B0502020202020204" pitchFamily="34" charset="0"/>
        </a:defRPr>
      </a:pPr>
      <a:endParaRPr lang="en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108055</xdr:colOff>
      <xdr:row>0</xdr:row>
      <xdr:rowOff>95250</xdr:rowOff>
    </xdr:from>
    <xdr:to>
      <xdr:col>6</xdr:col>
      <xdr:colOff>559812</xdr:colOff>
      <xdr:row>14</xdr:row>
      <xdr:rowOff>34018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05D3A7B-821D-4BFD-8114-7585C201BC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95250</xdr:colOff>
      <xdr:row>0</xdr:row>
      <xdr:rowOff>117581</xdr:rowOff>
    </xdr:from>
    <xdr:to>
      <xdr:col>13</xdr:col>
      <xdr:colOff>552450</xdr:colOff>
      <xdr:row>14</xdr:row>
      <xdr:rowOff>60431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D72D346-F0D1-43DC-B5FA-73A6A7569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33619</xdr:colOff>
      <xdr:row>0</xdr:row>
      <xdr:rowOff>140081</xdr:rowOff>
    </xdr:from>
    <xdr:to>
      <xdr:col>20</xdr:col>
      <xdr:colOff>523476</xdr:colOff>
      <xdr:row>14</xdr:row>
      <xdr:rowOff>25781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E9F7C0E-348E-4F66-9006-7F650E7C80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76841</xdr:colOff>
      <xdr:row>14</xdr:row>
      <xdr:rowOff>176893</xdr:rowOff>
    </xdr:from>
    <xdr:to>
      <xdr:col>20</xdr:col>
      <xdr:colOff>566698</xdr:colOff>
      <xdr:row>28</xdr:row>
      <xdr:rowOff>62593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19B4BEF-BF53-48CF-847B-086DF00DB3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81668</xdr:colOff>
      <xdr:row>14</xdr:row>
      <xdr:rowOff>184897</xdr:rowOff>
    </xdr:from>
    <xdr:to>
      <xdr:col>6</xdr:col>
      <xdr:colOff>571525</xdr:colOff>
      <xdr:row>28</xdr:row>
      <xdr:rowOff>70597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5E1722D-DD65-4941-8CD9-0B9E36C5F8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104081</xdr:colOff>
      <xdr:row>14</xdr:row>
      <xdr:rowOff>184896</xdr:rowOff>
    </xdr:from>
    <xdr:to>
      <xdr:col>13</xdr:col>
      <xdr:colOff>593938</xdr:colOff>
      <xdr:row>28</xdr:row>
      <xdr:rowOff>70596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983EA3D0-5276-4BDC-88A0-5F037BF419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92849</xdr:colOff>
      <xdr:row>28</xdr:row>
      <xdr:rowOff>188899</xdr:rowOff>
    </xdr:from>
    <xdr:to>
      <xdr:col>6</xdr:col>
      <xdr:colOff>582706</xdr:colOff>
      <xdr:row>42</xdr:row>
      <xdr:rowOff>74599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D8C79D94-DB18-4032-80FE-EA69334A74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Other%20work/Start%20up%20Model/Sample/Copy%20of%20SaaS%20Financial%20Model%202.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Updates"/>
      <sheetName val="Dashboard"/>
      <sheetName val="Metrics"/>
      <sheetName val="Chartbuilding"/>
      <sheetName val="Revenue Forecast Model"/>
      <sheetName val="Marketing Funnel"/>
      <sheetName val="Hiring Plan"/>
      <sheetName val="Deferred Revenue"/>
      <sheetName val="Operating Model"/>
      <sheetName val="Profit and Loss Export"/>
      <sheetName val="Balance Sheet Export"/>
      <sheetName val="Cash Flow Statement Export"/>
      <sheetName val="Baremetrics Export"/>
      <sheetName val="Renewals Export"/>
    </sheetNames>
    <sheetDataSet>
      <sheetData sheetId="0"/>
      <sheetData sheetId="1"/>
      <sheetData sheetId="2"/>
      <sheetData sheetId="3">
        <row r="1">
          <cell r="E1">
            <v>43556</v>
          </cell>
        </row>
      </sheetData>
      <sheetData sheetId="4">
        <row r="1">
          <cell r="A1" t="str">
            <v>Revenue Forecast Model</v>
          </cell>
          <cell r="C1">
            <v>43101</v>
          </cell>
          <cell r="D1">
            <v>43132</v>
          </cell>
          <cell r="E1">
            <v>43160</v>
          </cell>
          <cell r="F1">
            <v>43191</v>
          </cell>
          <cell r="G1">
            <v>43221</v>
          </cell>
          <cell r="H1">
            <v>43252</v>
          </cell>
          <cell r="I1">
            <v>43282</v>
          </cell>
          <cell r="J1">
            <v>43313</v>
          </cell>
          <cell r="K1">
            <v>43344</v>
          </cell>
          <cell r="L1">
            <v>43374</v>
          </cell>
          <cell r="M1">
            <v>43405</v>
          </cell>
          <cell r="N1">
            <v>43435</v>
          </cell>
          <cell r="O1">
            <v>43466</v>
          </cell>
          <cell r="P1">
            <v>43497</v>
          </cell>
          <cell r="Q1">
            <v>43525</v>
          </cell>
          <cell r="R1">
            <v>43556</v>
          </cell>
          <cell r="S1">
            <v>43586</v>
          </cell>
          <cell r="T1">
            <v>43617</v>
          </cell>
          <cell r="U1">
            <v>43647</v>
          </cell>
          <cell r="V1">
            <v>43678</v>
          </cell>
          <cell r="W1">
            <v>43709</v>
          </cell>
          <cell r="X1">
            <v>43739</v>
          </cell>
          <cell r="Y1">
            <v>43770</v>
          </cell>
          <cell r="Z1">
            <v>43800</v>
          </cell>
          <cell r="AA1">
            <v>43831</v>
          </cell>
          <cell r="AB1">
            <v>43862</v>
          </cell>
          <cell r="AC1">
            <v>43891</v>
          </cell>
          <cell r="AD1">
            <v>43922</v>
          </cell>
          <cell r="AE1">
            <v>43952</v>
          </cell>
          <cell r="AF1">
            <v>43983</v>
          </cell>
          <cell r="AG1">
            <v>44013</v>
          </cell>
          <cell r="AH1">
            <v>44044</v>
          </cell>
          <cell r="AI1">
            <v>44075</v>
          </cell>
          <cell r="AJ1">
            <v>44105</v>
          </cell>
          <cell r="AK1">
            <v>44136</v>
          </cell>
          <cell r="AL1">
            <v>44166</v>
          </cell>
          <cell r="AM1">
            <v>44197</v>
          </cell>
          <cell r="AN1">
            <v>44228</v>
          </cell>
          <cell r="AO1">
            <v>44256</v>
          </cell>
          <cell r="AP1">
            <v>44287</v>
          </cell>
          <cell r="AQ1">
            <v>44317</v>
          </cell>
          <cell r="AR1">
            <v>44348</v>
          </cell>
          <cell r="AS1">
            <v>44378</v>
          </cell>
          <cell r="AT1">
            <v>44409</v>
          </cell>
          <cell r="AU1">
            <v>44440</v>
          </cell>
          <cell r="AV1">
            <v>44470</v>
          </cell>
          <cell r="AW1">
            <v>44501</v>
          </cell>
          <cell r="AX1">
            <v>44531</v>
          </cell>
        </row>
        <row r="68">
          <cell r="A68" t="str">
            <v>Monthly Recurring Revenue</v>
          </cell>
          <cell r="C68">
            <v>303370</v>
          </cell>
          <cell r="D68">
            <v>321057</v>
          </cell>
          <cell r="E68">
            <v>340521</v>
          </cell>
          <cell r="F68">
            <v>360770</v>
          </cell>
          <cell r="G68">
            <v>386024</v>
          </cell>
          <cell r="H68">
            <v>401465</v>
          </cell>
          <cell r="I68">
            <v>426093</v>
          </cell>
          <cell r="J68">
            <v>440072</v>
          </cell>
          <cell r="K68">
            <v>453917</v>
          </cell>
          <cell r="L68">
            <v>467104</v>
          </cell>
          <cell r="M68">
            <v>480194</v>
          </cell>
          <cell r="N68">
            <v>492645</v>
          </cell>
          <cell r="O68">
            <v>506200</v>
          </cell>
          <cell r="P68">
            <v>529241</v>
          </cell>
          <cell r="Q68">
            <v>541535</v>
          </cell>
          <cell r="R68">
            <v>598886</v>
          </cell>
          <cell r="S68">
            <v>614052</v>
          </cell>
          <cell r="T68">
            <v>637486</v>
          </cell>
          <cell r="U68">
            <v>657516.30142577027</v>
          </cell>
          <cell r="V68">
            <v>684009.66008777847</v>
          </cell>
          <cell r="W68">
            <v>710064.51027338463</v>
          </cell>
          <cell r="X68">
            <v>733085.8550515509</v>
          </cell>
          <cell r="Y68">
            <v>755452.36338210583</v>
          </cell>
          <cell r="Z68">
            <v>777089.13770884497</v>
          </cell>
          <cell r="AA68">
            <v>798842.74764285074</v>
          </cell>
          <cell r="AB68">
            <v>820160.99294899986</v>
          </cell>
          <cell r="AC68">
            <v>841306.60327318718</v>
          </cell>
          <cell r="AD68">
            <v>862039.19919513853</v>
          </cell>
          <cell r="AE68">
            <v>882494.27705282357</v>
          </cell>
          <cell r="AF68">
            <v>904725.08850157424</v>
          </cell>
          <cell r="AG68">
            <v>926611.53405971685</v>
          </cell>
          <cell r="AH68">
            <v>948189.38694579178</v>
          </cell>
          <cell r="AI68">
            <v>969459.11163982737</v>
          </cell>
          <cell r="AJ68">
            <v>990420.05015114299</v>
          </cell>
          <cell r="AK68">
            <v>1011084.1739220829</v>
          </cell>
          <cell r="AL68">
            <v>1031455.1092876518</v>
          </cell>
          <cell r="AM68">
            <v>1053588.1505530975</v>
          </cell>
          <cell r="AN68">
            <v>1075406.7487353184</v>
          </cell>
          <cell r="AO68">
            <v>1096916.2734738451</v>
          </cell>
          <cell r="AP68">
            <v>1118122.4848676606</v>
          </cell>
          <cell r="AQ68">
            <v>1139031.2972662568</v>
          </cell>
          <cell r="AR68">
            <v>1159648.1697537834</v>
          </cell>
          <cell r="AS68">
            <v>1182029.1804724927</v>
          </cell>
          <cell r="AT68">
            <v>1204096.5761548781</v>
          </cell>
          <cell r="AU68">
            <v>1225856.2213891607</v>
          </cell>
          <cell r="AV68">
            <v>1247313.9055127318</v>
          </cell>
          <cell r="AW68">
            <v>1268475.3069442825</v>
          </cell>
          <cell r="AX68">
            <v>1291396.5664590835</v>
          </cell>
        </row>
      </sheetData>
      <sheetData sheetId="5"/>
      <sheetData sheetId="6"/>
      <sheetData sheetId="7"/>
      <sheetData sheetId="8">
        <row r="1">
          <cell r="A1" t="str">
            <v>Operating Model</v>
          </cell>
          <cell r="B1" t="str">
            <v>Autopilot Input</v>
          </cell>
          <cell r="D1">
            <v>43101</v>
          </cell>
          <cell r="E1">
            <v>43132</v>
          </cell>
          <cell r="F1">
            <v>43160</v>
          </cell>
          <cell r="G1">
            <v>43191</v>
          </cell>
          <cell r="H1">
            <v>43221</v>
          </cell>
          <cell r="I1">
            <v>43252</v>
          </cell>
          <cell r="J1">
            <v>43282</v>
          </cell>
          <cell r="K1">
            <v>43313</v>
          </cell>
          <cell r="L1">
            <v>43344</v>
          </cell>
          <cell r="M1">
            <v>43374</v>
          </cell>
          <cell r="N1">
            <v>43405</v>
          </cell>
          <cell r="O1">
            <v>43435</v>
          </cell>
          <cell r="P1">
            <v>43466</v>
          </cell>
          <cell r="Q1">
            <v>43497</v>
          </cell>
          <cell r="R1">
            <v>43525</v>
          </cell>
          <cell r="S1">
            <v>43556</v>
          </cell>
          <cell r="T1">
            <v>43586</v>
          </cell>
          <cell r="U1">
            <v>43617</v>
          </cell>
          <cell r="V1">
            <v>43647</v>
          </cell>
          <cell r="W1">
            <v>43678</v>
          </cell>
          <cell r="X1">
            <v>43709</v>
          </cell>
          <cell r="Y1">
            <v>43739</v>
          </cell>
          <cell r="Z1">
            <v>43770</v>
          </cell>
          <cell r="AA1">
            <v>43800</v>
          </cell>
          <cell r="AB1">
            <v>43831</v>
          </cell>
          <cell r="AC1">
            <v>43862</v>
          </cell>
          <cell r="AD1">
            <v>43891</v>
          </cell>
          <cell r="AE1">
            <v>43922</v>
          </cell>
          <cell r="AF1">
            <v>43952</v>
          </cell>
          <cell r="AG1">
            <v>43983</v>
          </cell>
          <cell r="AH1">
            <v>44013</v>
          </cell>
          <cell r="AI1">
            <v>44044</v>
          </cell>
          <cell r="AJ1">
            <v>44075</v>
          </cell>
          <cell r="AK1">
            <v>44105</v>
          </cell>
          <cell r="AL1">
            <v>44136</v>
          </cell>
          <cell r="AM1">
            <v>44166</v>
          </cell>
          <cell r="AN1">
            <v>44197</v>
          </cell>
          <cell r="AO1">
            <v>44228</v>
          </cell>
          <cell r="AP1">
            <v>44256</v>
          </cell>
          <cell r="AQ1">
            <v>44287</v>
          </cell>
          <cell r="AR1">
            <v>44317</v>
          </cell>
          <cell r="AS1">
            <v>44348</v>
          </cell>
          <cell r="AT1">
            <v>44378</v>
          </cell>
          <cell r="AU1">
            <v>44409</v>
          </cell>
          <cell r="AV1">
            <v>44440</v>
          </cell>
          <cell r="AW1">
            <v>44470</v>
          </cell>
          <cell r="AX1">
            <v>44501</v>
          </cell>
          <cell r="AY1">
            <v>44531</v>
          </cell>
        </row>
        <row r="5">
          <cell r="A5" t="str">
            <v>Total Income</v>
          </cell>
          <cell r="D5">
            <v>303373</v>
          </cell>
          <cell r="E5">
            <v>321057</v>
          </cell>
          <cell r="F5">
            <v>340521</v>
          </cell>
          <cell r="G5">
            <v>360770</v>
          </cell>
          <cell r="H5">
            <v>386024</v>
          </cell>
          <cell r="I5">
            <v>401465</v>
          </cell>
          <cell r="J5">
            <v>424939</v>
          </cell>
          <cell r="K5">
            <v>438925</v>
          </cell>
          <cell r="L5">
            <v>452768</v>
          </cell>
          <cell r="M5">
            <v>465957</v>
          </cell>
          <cell r="N5">
            <v>479118</v>
          </cell>
          <cell r="O5">
            <v>491501</v>
          </cell>
          <cell r="P5">
            <v>505058</v>
          </cell>
          <cell r="Q5">
            <v>525437</v>
          </cell>
          <cell r="R5">
            <v>542733</v>
          </cell>
          <cell r="S5">
            <v>598887</v>
          </cell>
          <cell r="T5">
            <v>614053</v>
          </cell>
          <cell r="U5">
            <v>637488</v>
          </cell>
          <cell r="V5">
            <v>657516</v>
          </cell>
          <cell r="W5">
            <v>685483</v>
          </cell>
          <cell r="X5">
            <v>715615</v>
          </cell>
          <cell r="Y5">
            <v>733085.8550515509</v>
          </cell>
          <cell r="Z5">
            <v>755452.36338210583</v>
          </cell>
          <cell r="AA5">
            <v>777089.13770884497</v>
          </cell>
          <cell r="AB5">
            <v>798842.74764285074</v>
          </cell>
          <cell r="AC5">
            <v>820160.99294899986</v>
          </cell>
          <cell r="AD5">
            <v>841306.60327318718</v>
          </cell>
          <cell r="AE5">
            <v>862039.19919513853</v>
          </cell>
          <cell r="AF5">
            <v>882494.27705282357</v>
          </cell>
          <cell r="AG5">
            <v>904725.08850157424</v>
          </cell>
          <cell r="AH5">
            <v>926611.53405971685</v>
          </cell>
          <cell r="AI5">
            <v>948189.38694579178</v>
          </cell>
          <cell r="AJ5">
            <v>969459.11163982737</v>
          </cell>
          <cell r="AK5">
            <v>990420.05015114299</v>
          </cell>
          <cell r="AL5">
            <v>1011084.1739220829</v>
          </cell>
          <cell r="AM5">
            <v>1031455.1092876518</v>
          </cell>
          <cell r="AN5">
            <v>1053588.1505530975</v>
          </cell>
          <cell r="AO5">
            <v>1075406.7487353184</v>
          </cell>
          <cell r="AP5">
            <v>1096916.2734738451</v>
          </cell>
          <cell r="AQ5">
            <v>1118122.4848676606</v>
          </cell>
          <cell r="AR5">
            <v>1139031.2972662568</v>
          </cell>
          <cell r="AS5">
            <v>1159648.1697537834</v>
          </cell>
          <cell r="AT5">
            <v>1182029.1804724927</v>
          </cell>
          <cell r="AU5">
            <v>1204096.5761548781</v>
          </cell>
          <cell r="AV5">
            <v>1225856.2213891607</v>
          </cell>
          <cell r="AW5">
            <v>1247313.9055127318</v>
          </cell>
          <cell r="AX5">
            <v>1268475.3069442825</v>
          </cell>
          <cell r="AY5">
            <v>1291396.5664590835</v>
          </cell>
        </row>
        <row r="15">
          <cell r="A15" t="str">
            <v xml:space="preserve">  Total Customer Support</v>
          </cell>
          <cell r="D15">
            <v>34283</v>
          </cell>
          <cell r="E15">
            <v>34393</v>
          </cell>
          <cell r="F15">
            <v>34477</v>
          </cell>
          <cell r="G15">
            <v>40385</v>
          </cell>
          <cell r="H15">
            <v>40507</v>
          </cell>
          <cell r="I15">
            <v>40633</v>
          </cell>
          <cell r="J15">
            <v>46362</v>
          </cell>
          <cell r="K15">
            <v>46297</v>
          </cell>
          <cell r="L15">
            <v>51695</v>
          </cell>
          <cell r="M15">
            <v>51872</v>
          </cell>
          <cell r="N15">
            <v>52062</v>
          </cell>
          <cell r="O15">
            <v>68964</v>
          </cell>
          <cell r="P15">
            <v>67970</v>
          </cell>
          <cell r="Q15">
            <v>69816</v>
          </cell>
          <cell r="R15">
            <v>70128</v>
          </cell>
          <cell r="S15">
            <v>71128</v>
          </cell>
          <cell r="T15">
            <v>75255</v>
          </cell>
          <cell r="U15">
            <v>75474</v>
          </cell>
          <cell r="V15">
            <v>75337</v>
          </cell>
          <cell r="W15">
            <v>75562</v>
          </cell>
          <cell r="X15">
            <v>75562</v>
          </cell>
          <cell r="Y15">
            <v>75236.040641328684</v>
          </cell>
          <cell r="Z15">
            <v>90778.739400342252</v>
          </cell>
          <cell r="AA15">
            <v>98446.853156285491</v>
          </cell>
          <cell r="AB15">
            <v>98682.901360905598</v>
          </cell>
          <cell r="AC15">
            <v>98914.225428287231</v>
          </cell>
          <cell r="AD15">
            <v>99143.676235199877</v>
          </cell>
          <cell r="AE15">
            <v>99368.645426949544</v>
          </cell>
          <cell r="AF15">
            <v>99590.603272949316</v>
          </cell>
          <cell r="AG15">
            <v>99831.829586450636</v>
          </cell>
          <cell r="AH15">
            <v>100069.31918910454</v>
          </cell>
          <cell r="AI15">
            <v>100303.46025574897</v>
          </cell>
          <cell r="AJ15">
            <v>100534.25782645206</v>
          </cell>
          <cell r="AK15">
            <v>100761.70476136349</v>
          </cell>
          <cell r="AL15">
            <v>100985.93096248485</v>
          </cell>
          <cell r="AM15">
            <v>101206.97577914115</v>
          </cell>
          <cell r="AN15">
            <v>101447.1411893577</v>
          </cell>
          <cell r="AO15">
            <v>101683.89458081158</v>
          </cell>
          <cell r="AP15">
            <v>101917.29421940785</v>
          </cell>
          <cell r="AQ15">
            <v>102147.40260792316</v>
          </cell>
          <cell r="AR15">
            <v>102374.2839229049</v>
          </cell>
          <cell r="AS15">
            <v>102597.99740082081</v>
          </cell>
          <cell r="AT15">
            <v>102840.85352510371</v>
          </cell>
          <cell r="AU15">
            <v>103080.30661575263</v>
          </cell>
          <cell r="AV15">
            <v>103316.4203093559</v>
          </cell>
          <cell r="AW15">
            <v>103549.25742595588</v>
          </cell>
          <cell r="AX15">
            <v>103778.87958201717</v>
          </cell>
          <cell r="AY15">
            <v>104027.59794060291</v>
          </cell>
        </row>
        <row r="18">
          <cell r="A18" t="str">
            <v xml:space="preserve">  Total Service Delivery</v>
          </cell>
          <cell r="D18">
            <v>30337</v>
          </cell>
          <cell r="E18">
            <v>32106</v>
          </cell>
          <cell r="F18">
            <v>35755</v>
          </cell>
          <cell r="G18">
            <v>36077</v>
          </cell>
          <cell r="H18">
            <v>37830</v>
          </cell>
          <cell r="I18">
            <v>38139</v>
          </cell>
          <cell r="J18">
            <v>38985</v>
          </cell>
          <cell r="K18">
            <v>40200</v>
          </cell>
          <cell r="L18">
            <v>38500</v>
          </cell>
          <cell r="M18">
            <v>43793</v>
          </cell>
          <cell r="N18">
            <v>43976</v>
          </cell>
          <cell r="O18">
            <v>44112</v>
          </cell>
          <cell r="P18">
            <v>43582</v>
          </cell>
          <cell r="Q18">
            <v>41175</v>
          </cell>
          <cell r="R18">
            <v>44454</v>
          </cell>
          <cell r="S18">
            <v>44454</v>
          </cell>
          <cell r="T18">
            <v>47850</v>
          </cell>
          <cell r="U18">
            <v>45979</v>
          </cell>
          <cell r="V18">
            <v>47228</v>
          </cell>
          <cell r="W18">
            <v>48972</v>
          </cell>
          <cell r="X18">
            <v>50225</v>
          </cell>
          <cell r="Y18">
            <v>52142.896301066328</v>
          </cell>
          <cell r="Z18">
            <v>53733.780256145576</v>
          </cell>
          <cell r="AA18">
            <v>55272.75972524118</v>
          </cell>
          <cell r="AB18">
            <v>56820.049471928411</v>
          </cell>
          <cell r="AC18">
            <v>58336.372623793155</v>
          </cell>
          <cell r="AD18">
            <v>59840.416602761106</v>
          </cell>
          <cell r="AE18">
            <v>61315.083712705818</v>
          </cell>
          <cell r="AF18">
            <v>62770.011530796794</v>
          </cell>
          <cell r="AG18">
            <v>64351.243644434086</v>
          </cell>
          <cell r="AH18">
            <v>65907.981717162154</v>
          </cell>
          <cell r="AI18">
            <v>67442.770224790846</v>
          </cell>
          <cell r="AJ18">
            <v>68955.642204833799</v>
          </cell>
          <cell r="AK18">
            <v>70446.550855760783</v>
          </cell>
          <cell r="AL18">
            <v>71916.347681761123</v>
          </cell>
          <cell r="AM18">
            <v>73365.290616620914</v>
          </cell>
          <cell r="AN18">
            <v>74939.568537247542</v>
          </cell>
          <cell r="AO18">
            <v>76491.480765004526</v>
          </cell>
          <cell r="AP18">
            <v>78021.40923136042</v>
          </cell>
          <cell r="AQ18">
            <v>79529.763640365418</v>
          </cell>
          <cell r="AR18">
            <v>81016.964667592692</v>
          </cell>
          <cell r="AS18">
            <v>82483.400606523486</v>
          </cell>
          <cell r="AT18">
            <v>84075.316086786916</v>
          </cell>
          <cell r="AU18">
            <v>85644.924771461796</v>
          </cell>
          <cell r="AV18">
            <v>87192.643796703938</v>
          </cell>
          <cell r="AW18">
            <v>88718.884946231672</v>
          </cell>
          <cell r="AX18">
            <v>90224.052114343242</v>
          </cell>
          <cell r="AY18">
            <v>91854.394385626118</v>
          </cell>
        </row>
        <row r="30">
          <cell r="A30" t="str">
            <v xml:space="preserve">  Total Engineering</v>
          </cell>
          <cell r="D30">
            <v>203616</v>
          </cell>
          <cell r="E30">
            <v>213254</v>
          </cell>
          <cell r="F30">
            <v>228112</v>
          </cell>
          <cell r="G30">
            <v>228156</v>
          </cell>
          <cell r="H30">
            <v>227917</v>
          </cell>
          <cell r="I30">
            <v>239328</v>
          </cell>
          <cell r="J30">
            <v>240162</v>
          </cell>
          <cell r="K30">
            <v>242532</v>
          </cell>
          <cell r="L30">
            <v>245467</v>
          </cell>
          <cell r="M30">
            <v>249787</v>
          </cell>
          <cell r="N30">
            <v>251307</v>
          </cell>
          <cell r="O30">
            <v>261226</v>
          </cell>
          <cell r="P30">
            <v>260726</v>
          </cell>
          <cell r="Q30">
            <v>261699</v>
          </cell>
          <cell r="R30">
            <v>261699</v>
          </cell>
          <cell r="S30">
            <v>263687</v>
          </cell>
          <cell r="T30">
            <v>268487</v>
          </cell>
          <cell r="U30">
            <v>267252</v>
          </cell>
          <cell r="V30">
            <v>266881</v>
          </cell>
          <cell r="W30">
            <v>269416</v>
          </cell>
          <cell r="X30">
            <v>269416</v>
          </cell>
          <cell r="Y30">
            <v>259326.66666666669</v>
          </cell>
          <cell r="Z30">
            <v>249326.66666666669</v>
          </cell>
          <cell r="AA30">
            <v>261093.33333333334</v>
          </cell>
          <cell r="AB30">
            <v>261093.33333333334</v>
          </cell>
          <cell r="AC30">
            <v>261093.33333333334</v>
          </cell>
          <cell r="AD30">
            <v>261093.33333333334</v>
          </cell>
          <cell r="AE30">
            <v>261093.33333333334</v>
          </cell>
          <cell r="AF30">
            <v>261093.33333333334</v>
          </cell>
          <cell r="AG30">
            <v>261093.33333333334</v>
          </cell>
          <cell r="AH30">
            <v>261093.33333333334</v>
          </cell>
          <cell r="AI30">
            <v>261093.33333333334</v>
          </cell>
          <cell r="AJ30">
            <v>261093.33333333334</v>
          </cell>
          <cell r="AK30">
            <v>261093.33333333334</v>
          </cell>
          <cell r="AL30">
            <v>261093.33333333334</v>
          </cell>
          <cell r="AM30">
            <v>261093.33333333334</v>
          </cell>
          <cell r="AN30">
            <v>261093.33333333334</v>
          </cell>
          <cell r="AO30">
            <v>261093.33333333334</v>
          </cell>
          <cell r="AP30">
            <v>261093.33333333334</v>
          </cell>
          <cell r="AQ30">
            <v>261093.33333333334</v>
          </cell>
          <cell r="AR30">
            <v>261093.33333333334</v>
          </cell>
          <cell r="AS30">
            <v>261093.33333333334</v>
          </cell>
          <cell r="AT30">
            <v>261093.33333333334</v>
          </cell>
          <cell r="AU30">
            <v>261093.33333333334</v>
          </cell>
          <cell r="AV30">
            <v>261093.33333333334</v>
          </cell>
          <cell r="AW30">
            <v>261093.33333333334</v>
          </cell>
          <cell r="AX30">
            <v>261093.33333333334</v>
          </cell>
          <cell r="AY30">
            <v>261093.33333333334</v>
          </cell>
        </row>
        <row r="61">
          <cell r="A61" t="str">
            <v xml:space="preserve">  Total General &amp; Admin</v>
          </cell>
          <cell r="D61">
            <v>49564</v>
          </cell>
          <cell r="E61">
            <v>50447</v>
          </cell>
          <cell r="F61">
            <v>51351</v>
          </cell>
          <cell r="G61">
            <v>53206</v>
          </cell>
          <cell r="H61">
            <v>55257</v>
          </cell>
          <cell r="I61">
            <v>57649</v>
          </cell>
          <cell r="J61">
            <v>60554</v>
          </cell>
          <cell r="K61">
            <v>60152</v>
          </cell>
          <cell r="L61">
            <v>67770</v>
          </cell>
          <cell r="M61">
            <v>67583</v>
          </cell>
          <cell r="N61">
            <v>67866</v>
          </cell>
          <cell r="O61">
            <v>70376</v>
          </cell>
          <cell r="P61">
            <v>69737</v>
          </cell>
          <cell r="Q61">
            <v>72354</v>
          </cell>
          <cell r="R61">
            <v>76214</v>
          </cell>
          <cell r="S61">
            <v>76301</v>
          </cell>
          <cell r="T61">
            <v>81524</v>
          </cell>
          <cell r="U61">
            <v>81206</v>
          </cell>
          <cell r="V61">
            <v>81697</v>
          </cell>
          <cell r="W61">
            <v>82120</v>
          </cell>
          <cell r="X61">
            <v>83392</v>
          </cell>
          <cell r="Y61">
            <v>91619.333333333328</v>
          </cell>
          <cell r="Z61">
            <v>91619.333333333328</v>
          </cell>
          <cell r="AA61">
            <v>91619.333333333328</v>
          </cell>
          <cell r="AB61">
            <v>91619.333333333328</v>
          </cell>
          <cell r="AC61">
            <v>91619.333333333328</v>
          </cell>
          <cell r="AD61">
            <v>91619.333333333328</v>
          </cell>
          <cell r="AE61">
            <v>91619.333333333328</v>
          </cell>
          <cell r="AF61">
            <v>91619.333333333328</v>
          </cell>
          <cell r="AG61">
            <v>91619.333333333328</v>
          </cell>
          <cell r="AH61">
            <v>91619.333333333328</v>
          </cell>
          <cell r="AI61">
            <v>91619.333333333328</v>
          </cell>
          <cell r="AJ61">
            <v>91619.333333333328</v>
          </cell>
          <cell r="AK61">
            <v>91619.333333333328</v>
          </cell>
          <cell r="AL61">
            <v>91619.333333333328</v>
          </cell>
          <cell r="AM61">
            <v>91619.333333333328</v>
          </cell>
          <cell r="AN61">
            <v>91619.333333333328</v>
          </cell>
          <cell r="AO61">
            <v>91619.333333333328</v>
          </cell>
          <cell r="AP61">
            <v>91619.333333333328</v>
          </cell>
          <cell r="AQ61">
            <v>91619.333333333328</v>
          </cell>
          <cell r="AR61">
            <v>91619.333333333328</v>
          </cell>
          <cell r="AS61">
            <v>91619.333333333328</v>
          </cell>
          <cell r="AT61">
            <v>91619.333333333328</v>
          </cell>
          <cell r="AU61">
            <v>91619.333333333328</v>
          </cell>
          <cell r="AV61">
            <v>91619.333333333328</v>
          </cell>
          <cell r="AW61">
            <v>91619.333333333328</v>
          </cell>
          <cell r="AX61">
            <v>91619.333333333328</v>
          </cell>
          <cell r="AY61">
            <v>91619.333333333328</v>
          </cell>
        </row>
        <row r="81">
          <cell r="A81" t="str">
            <v xml:space="preserve">  Total Sales &amp; Marketing</v>
          </cell>
          <cell r="D81">
            <v>73424</v>
          </cell>
          <cell r="E81">
            <v>78981</v>
          </cell>
          <cell r="F81">
            <v>93782</v>
          </cell>
          <cell r="G81">
            <v>97541</v>
          </cell>
          <cell r="H81">
            <v>106578</v>
          </cell>
          <cell r="I81">
            <v>103848</v>
          </cell>
          <cell r="J81">
            <v>132921</v>
          </cell>
          <cell r="K81">
            <v>139510</v>
          </cell>
          <cell r="L81">
            <v>163781</v>
          </cell>
          <cell r="M81">
            <v>184803</v>
          </cell>
          <cell r="N81">
            <v>204504</v>
          </cell>
          <cell r="O81">
            <v>224017</v>
          </cell>
          <cell r="P81">
            <v>232053</v>
          </cell>
          <cell r="Q81">
            <v>261285</v>
          </cell>
          <cell r="R81">
            <v>265101</v>
          </cell>
          <cell r="S81">
            <v>262429</v>
          </cell>
          <cell r="T81">
            <v>282386</v>
          </cell>
          <cell r="U81">
            <v>279004</v>
          </cell>
          <cell r="V81">
            <v>277317</v>
          </cell>
          <cell r="W81">
            <v>279876</v>
          </cell>
          <cell r="X81">
            <v>287039</v>
          </cell>
          <cell r="Y81">
            <v>268474.66666666663</v>
          </cell>
          <cell r="Z81">
            <v>308608</v>
          </cell>
          <cell r="AA81">
            <v>308608</v>
          </cell>
          <cell r="AB81">
            <v>326941.33333333337</v>
          </cell>
          <cell r="AC81">
            <v>326941.33333333337</v>
          </cell>
          <cell r="AD81">
            <v>345274.66666666669</v>
          </cell>
          <cell r="AE81">
            <v>385408</v>
          </cell>
          <cell r="AF81">
            <v>385408</v>
          </cell>
          <cell r="AG81">
            <v>385408</v>
          </cell>
          <cell r="AH81">
            <v>385408</v>
          </cell>
          <cell r="AI81">
            <v>385408</v>
          </cell>
          <cell r="AJ81">
            <v>385408</v>
          </cell>
          <cell r="AK81">
            <v>385408</v>
          </cell>
          <cell r="AL81">
            <v>385408</v>
          </cell>
          <cell r="AM81">
            <v>385408</v>
          </cell>
          <cell r="AN81">
            <v>385408</v>
          </cell>
          <cell r="AO81">
            <v>385408</v>
          </cell>
          <cell r="AP81">
            <v>385408</v>
          </cell>
          <cell r="AQ81">
            <v>385408</v>
          </cell>
          <cell r="AR81">
            <v>385408</v>
          </cell>
          <cell r="AS81">
            <v>385408</v>
          </cell>
          <cell r="AT81">
            <v>385408</v>
          </cell>
          <cell r="AU81">
            <v>385408</v>
          </cell>
          <cell r="AV81">
            <v>385408</v>
          </cell>
          <cell r="AW81">
            <v>385408</v>
          </cell>
          <cell r="AX81">
            <v>385408</v>
          </cell>
          <cell r="AY81">
            <v>385408</v>
          </cell>
        </row>
        <row r="102">
          <cell r="A102" t="str">
            <v xml:space="preserve">    Total Bank Accounts</v>
          </cell>
          <cell r="D102">
            <v>962267</v>
          </cell>
          <cell r="E102">
            <v>971917</v>
          </cell>
          <cell r="F102">
            <v>868961</v>
          </cell>
          <cell r="G102">
            <v>774366</v>
          </cell>
          <cell r="H102">
            <v>692301</v>
          </cell>
          <cell r="I102">
            <v>614169</v>
          </cell>
          <cell r="J102">
            <v>520124</v>
          </cell>
          <cell r="K102">
            <v>430358</v>
          </cell>
          <cell r="L102">
            <v>315913</v>
          </cell>
          <cell r="M102">
            <v>784032</v>
          </cell>
          <cell r="N102">
            <v>643435</v>
          </cell>
          <cell r="O102">
            <v>466241</v>
          </cell>
          <cell r="P102">
            <v>797231</v>
          </cell>
          <cell r="Q102">
            <v>616339</v>
          </cell>
          <cell r="R102">
            <v>441476</v>
          </cell>
          <cell r="S102">
            <v>322364</v>
          </cell>
          <cell r="T102">
            <v>480915</v>
          </cell>
          <cell r="U102">
            <v>369488</v>
          </cell>
          <cell r="V102">
            <v>278544</v>
          </cell>
          <cell r="W102">
            <v>208081</v>
          </cell>
          <cell r="X102">
            <v>158062</v>
          </cell>
          <cell r="Y102">
            <v>177348.25144248921</v>
          </cell>
          <cell r="Z102">
            <v>201734.09516810719</v>
          </cell>
          <cell r="AA102">
            <v>253782.95332875883</v>
          </cell>
          <cell r="AB102">
            <v>331468.75013877556</v>
          </cell>
          <cell r="AC102">
            <v>449725.14503569505</v>
          </cell>
          <cell r="AD102">
            <v>454060.32213758782</v>
          </cell>
          <cell r="AE102">
            <v>522295.12552640436</v>
          </cell>
          <cell r="AF102">
            <v>594308.12110881519</v>
          </cell>
          <cell r="AG102">
            <v>682729.46971283806</v>
          </cell>
          <cell r="AH102">
            <v>775243.03619962162</v>
          </cell>
          <cell r="AI102">
            <v>871565.52599820693</v>
          </cell>
          <cell r="AJ102">
            <v>971414.07094008185</v>
          </cell>
          <cell r="AK102">
            <v>1110505.1988074339</v>
          </cell>
          <cell r="AL102">
            <v>1288566.427418604</v>
          </cell>
          <cell r="AM102">
            <v>1505328.6036438271</v>
          </cell>
          <cell r="AN102">
            <v>1773409.3778036528</v>
          </cell>
          <cell r="AO102">
            <v>2080520.0845264886</v>
          </cell>
          <cell r="AP102">
            <v>2390376.9878828987</v>
          </cell>
          <cell r="AQ102">
            <v>2702701.639835604</v>
          </cell>
          <cell r="AR102">
            <v>3017221.0218446967</v>
          </cell>
          <cell r="AS102">
            <v>3345667.1269244691</v>
          </cell>
          <cell r="AT102">
            <v>3688659.4711184045</v>
          </cell>
          <cell r="AU102">
            <v>4033910.1492194016</v>
          </cell>
          <cell r="AV102">
            <v>4381136.6398358364</v>
          </cell>
          <cell r="AW102">
            <v>4766061.7363097137</v>
          </cell>
          <cell r="AX102">
            <v>5188413.4448909694</v>
          </cell>
          <cell r="AY102">
            <v>5660807.3523571575</v>
          </cell>
        </row>
        <row r="159">
          <cell r="A159" t="str">
            <v>Net cash provided by operating activities</v>
          </cell>
          <cell r="D159">
            <v>-87733</v>
          </cell>
          <cell r="E159">
            <v>-90350</v>
          </cell>
          <cell r="F159">
            <v>-102956</v>
          </cell>
          <cell r="G159">
            <v>-94595</v>
          </cell>
          <cell r="H159">
            <v>-82065</v>
          </cell>
          <cell r="I159">
            <v>-78132</v>
          </cell>
          <cell r="J159">
            <v>-94045</v>
          </cell>
          <cell r="K159">
            <v>-89766</v>
          </cell>
          <cell r="L159">
            <v>-114445</v>
          </cell>
          <cell r="M159">
            <v>-131881</v>
          </cell>
          <cell r="N159">
            <v>-140597</v>
          </cell>
          <cell r="O159">
            <v>-177194</v>
          </cell>
          <cell r="P159">
            <v>-169010</v>
          </cell>
          <cell r="Q159">
            <v>-180892</v>
          </cell>
          <cell r="R159">
            <v>-174863</v>
          </cell>
          <cell r="S159">
            <v>-119112</v>
          </cell>
          <cell r="T159">
            <v>-141449</v>
          </cell>
          <cell r="U159">
            <v>-111427</v>
          </cell>
          <cell r="V159">
            <v>-90944</v>
          </cell>
          <cell r="W159">
            <v>-70463</v>
          </cell>
          <cell r="X159">
            <v>-50019</v>
          </cell>
          <cell r="Y159">
            <v>19286.251442489214</v>
          </cell>
          <cell r="Z159">
            <v>24385.843725617975</v>
          </cell>
          <cell r="AA159">
            <v>52048.858160651638</v>
          </cell>
          <cell r="AB159">
            <v>77685.796810016735</v>
          </cell>
          <cell r="AC159">
            <v>118256.39489691949</v>
          </cell>
          <cell r="AD159">
            <v>104335.17710189277</v>
          </cell>
          <cell r="AE159">
            <v>68234.803388816537</v>
          </cell>
          <cell r="AF159">
            <v>72012.995582410833</v>
          </cell>
          <cell r="AG159">
            <v>88421.348604022874</v>
          </cell>
          <cell r="AH159">
            <v>92513.566486783559</v>
          </cell>
          <cell r="AI159">
            <v>96322.489798585302</v>
          </cell>
          <cell r="AJ159">
            <v>99848.544941874919</v>
          </cell>
          <cell r="AK159">
            <v>139091.1278673521</v>
          </cell>
          <cell r="AL159">
            <v>178061.2286111702</v>
          </cell>
          <cell r="AM159">
            <v>216762.17622522311</v>
          </cell>
          <cell r="AN159">
            <v>268080.77415982564</v>
          </cell>
          <cell r="AO159">
            <v>307110.70672283566</v>
          </cell>
          <cell r="AP159">
            <v>309856.90335641021</v>
          </cell>
          <cell r="AQ159">
            <v>312324.65195270535</v>
          </cell>
          <cell r="AR159">
            <v>314519.3820090926</v>
          </cell>
          <cell r="AS159">
            <v>328446.10507977253</v>
          </cell>
          <cell r="AT159">
            <v>342992.34419393551</v>
          </cell>
          <cell r="AU159">
            <v>345250.678100997</v>
          </cell>
          <cell r="AV159">
            <v>347226.49061643425</v>
          </cell>
          <cell r="AW159">
            <v>384925.09647387767</v>
          </cell>
          <cell r="AX159">
            <v>422351.7085812554</v>
          </cell>
          <cell r="AY159">
            <v>472393.90746618772</v>
          </cell>
        </row>
        <row r="165">
          <cell r="A165" t="str">
            <v>Net cash provided by investing activities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-100000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</row>
        <row r="172">
          <cell r="A172" t="str">
            <v>Net cash provided by financing activities</v>
          </cell>
          <cell r="D172">
            <v>1050000</v>
          </cell>
          <cell r="E172">
            <v>100000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600000</v>
          </cell>
          <cell r="N172">
            <v>0</v>
          </cell>
          <cell r="O172">
            <v>0</v>
          </cell>
          <cell r="P172">
            <v>500000</v>
          </cell>
          <cell r="Q172">
            <v>0</v>
          </cell>
          <cell r="R172">
            <v>0</v>
          </cell>
          <cell r="S172">
            <v>0</v>
          </cell>
          <cell r="T172">
            <v>300000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</row>
      </sheetData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42"/>
  <sheetViews>
    <sheetView zoomScale="70" zoomScaleNormal="70" workbookViewId="0">
      <selection activeCell="F8" sqref="F8"/>
    </sheetView>
  </sheetViews>
  <sheetFormatPr baseColWidth="10" defaultColWidth="11" defaultRowHeight="16" x14ac:dyDescent="0.2"/>
  <cols>
    <col min="2" max="2" width="22.33203125" customWidth="1"/>
    <col min="3" max="3" width="25.33203125" customWidth="1"/>
    <col min="4" max="4" width="18" customWidth="1"/>
    <col min="6" max="6" width="24.83203125" customWidth="1"/>
    <col min="8" max="8" width="23.33203125" customWidth="1"/>
    <col min="10" max="10" width="14.6640625" customWidth="1"/>
    <col min="11" max="11" width="17.6640625" customWidth="1"/>
  </cols>
  <sheetData>
    <row r="2" spans="2:20" x14ac:dyDescent="0.2">
      <c r="F2" s="122" t="s">
        <v>18</v>
      </c>
      <c r="J2" s="122" t="s">
        <v>17</v>
      </c>
      <c r="K2" s="122"/>
    </row>
    <row r="3" spans="2:20" x14ac:dyDescent="0.2">
      <c r="F3" s="122"/>
      <c r="J3" s="122"/>
      <c r="K3" s="122"/>
    </row>
    <row r="4" spans="2:20" x14ac:dyDescent="0.2">
      <c r="F4" s="122"/>
      <c r="J4" s="122"/>
      <c r="K4" s="122"/>
    </row>
    <row r="5" spans="2:20" x14ac:dyDescent="0.2">
      <c r="E5" s="1"/>
    </row>
    <row r="7" spans="2:20" x14ac:dyDescent="0.2">
      <c r="B7" t="s">
        <v>0</v>
      </c>
      <c r="C7" s="118" t="s">
        <v>1</v>
      </c>
      <c r="D7" s="118"/>
      <c r="F7" t="s">
        <v>5</v>
      </c>
      <c r="G7" t="s">
        <v>22</v>
      </c>
      <c r="H7" t="s">
        <v>23</v>
      </c>
    </row>
    <row r="8" spans="2:20" x14ac:dyDescent="0.2">
      <c r="B8" t="s">
        <v>19</v>
      </c>
      <c r="C8" s="5">
        <v>2.5899999999999999E-2</v>
      </c>
      <c r="D8" s="6">
        <v>1</v>
      </c>
      <c r="F8" s="10">
        <f>C8+D8/D17+((200/$D$18)/$D$17)</f>
        <v>6.2986419753086428E-2</v>
      </c>
      <c r="G8" s="12">
        <v>7.0000000000000007E-2</v>
      </c>
      <c r="H8" s="4">
        <f>G8-F8</f>
        <v>7.0135802469135783E-3</v>
      </c>
    </row>
    <row r="9" spans="2:20" x14ac:dyDescent="0.2">
      <c r="B9" t="s">
        <v>15</v>
      </c>
      <c r="C9" s="5">
        <v>1.7000000000000001E-2</v>
      </c>
      <c r="D9" s="6">
        <v>1</v>
      </c>
      <c r="E9" s="2"/>
      <c r="F9" s="11">
        <f>C9+(D9/D17)++((200/$D$18)/$D$17)</f>
        <v>5.4086419753086416E-2</v>
      </c>
      <c r="G9" s="12">
        <v>7.0000000000000007E-2</v>
      </c>
      <c r="H9" s="4">
        <f>G9-F9</f>
        <v>1.591358024691359E-2</v>
      </c>
    </row>
    <row r="10" spans="2:20" x14ac:dyDescent="0.2">
      <c r="B10" t="s">
        <v>20</v>
      </c>
      <c r="C10" s="119">
        <v>149</v>
      </c>
      <c r="D10" s="119"/>
    </row>
    <row r="11" spans="2:20" x14ac:dyDescent="0.2">
      <c r="G11" s="118" t="s">
        <v>16</v>
      </c>
      <c r="H11" s="118"/>
      <c r="J11" s="118" t="s">
        <v>15</v>
      </c>
      <c r="K11" s="118"/>
      <c r="M11" s="118" t="s">
        <v>7</v>
      </c>
      <c r="N11" s="118"/>
      <c r="P11" s="118" t="s">
        <v>7</v>
      </c>
      <c r="Q11" s="118"/>
    </row>
    <row r="12" spans="2:20" x14ac:dyDescent="0.2">
      <c r="G12" s="120">
        <v>2.5899999999999999E-2</v>
      </c>
      <c r="H12" s="120"/>
      <c r="J12" s="121">
        <v>1.7000000000000001E-2</v>
      </c>
      <c r="K12" s="118"/>
      <c r="M12" s="121">
        <v>2.7E-2</v>
      </c>
      <c r="N12" s="121"/>
      <c r="P12" s="121">
        <v>1.7000000000000001E-2</v>
      </c>
      <c r="Q12" s="118"/>
      <c r="S12" s="118"/>
      <c r="T12" s="118"/>
    </row>
    <row r="13" spans="2:20" x14ac:dyDescent="0.2">
      <c r="G13" t="s">
        <v>3</v>
      </c>
      <c r="H13" s="7" t="s">
        <v>6</v>
      </c>
      <c r="J13" t="s">
        <v>3</v>
      </c>
      <c r="K13" s="7" t="s">
        <v>6</v>
      </c>
      <c r="M13" t="s">
        <v>9</v>
      </c>
      <c r="N13" t="s">
        <v>8</v>
      </c>
      <c r="P13" t="s">
        <v>10</v>
      </c>
      <c r="Q13" t="s">
        <v>11</v>
      </c>
    </row>
    <row r="14" spans="2:20" x14ac:dyDescent="0.2">
      <c r="G14">
        <v>20</v>
      </c>
      <c r="H14" s="8">
        <f t="shared" ref="H14:H26" si="0">$G$12+(1/G14)+(($C$10/$D$18)/G14)</f>
        <v>7.5949666666666665E-2</v>
      </c>
      <c r="J14">
        <v>20</v>
      </c>
      <c r="K14" s="4">
        <f t="shared" ref="K14:K26" si="1">$J$12+(1/G14)+(($C$10/$D$18)/G14)</f>
        <v>6.7049666666666674E-2</v>
      </c>
      <c r="M14">
        <v>20</v>
      </c>
      <c r="N14" s="8">
        <f t="shared" ref="N14:N26" si="2">$M$12+(($C$10/$D$18)/G14)</f>
        <v>2.7049666666666666E-2</v>
      </c>
      <c r="P14">
        <v>20</v>
      </c>
      <c r="Q14" s="8">
        <f t="shared" ref="Q14:Q26" si="3">$P$12+(($C$10/$D$18)/G14)</f>
        <v>1.7049666666666668E-2</v>
      </c>
    </row>
    <row r="15" spans="2:20" x14ac:dyDescent="0.2">
      <c r="G15">
        <v>27</v>
      </c>
      <c r="H15" s="8">
        <f t="shared" si="0"/>
        <v>6.2973827160493837E-2</v>
      </c>
      <c r="J15">
        <v>25</v>
      </c>
      <c r="K15" s="4">
        <f t="shared" si="1"/>
        <v>5.4073827160493824E-2</v>
      </c>
      <c r="M15">
        <v>25</v>
      </c>
      <c r="N15" s="8">
        <f t="shared" si="2"/>
        <v>2.7036790123456791E-2</v>
      </c>
      <c r="P15">
        <v>25</v>
      </c>
      <c r="Q15" s="8">
        <f t="shared" si="3"/>
        <v>1.7036790123456793E-2</v>
      </c>
    </row>
    <row r="16" spans="2:20" x14ac:dyDescent="0.2">
      <c r="G16">
        <v>30</v>
      </c>
      <c r="H16" s="8">
        <f t="shared" si="0"/>
        <v>5.9266444444444441E-2</v>
      </c>
      <c r="J16">
        <v>30</v>
      </c>
      <c r="K16" s="4">
        <f t="shared" si="1"/>
        <v>5.0366444444444443E-2</v>
      </c>
      <c r="M16">
        <v>30</v>
      </c>
      <c r="N16" s="8">
        <f t="shared" si="2"/>
        <v>2.7033111111111112E-2</v>
      </c>
      <c r="P16">
        <v>30</v>
      </c>
      <c r="Q16" s="8">
        <f t="shared" si="3"/>
        <v>1.7033111111111113E-2</v>
      </c>
    </row>
    <row r="17" spans="2:17" x14ac:dyDescent="0.2">
      <c r="B17" t="s">
        <v>2</v>
      </c>
      <c r="C17" t="s">
        <v>3</v>
      </c>
      <c r="D17">
        <v>27</v>
      </c>
      <c r="G17">
        <v>35</v>
      </c>
      <c r="H17" s="8">
        <f t="shared" si="0"/>
        <v>5.4499809523809527E-2</v>
      </c>
      <c r="J17">
        <v>35</v>
      </c>
      <c r="K17" s="4">
        <f t="shared" si="1"/>
        <v>4.5599809523809522E-2</v>
      </c>
      <c r="M17">
        <v>35</v>
      </c>
      <c r="N17" s="8">
        <f t="shared" si="2"/>
        <v>2.7028380952380953E-2</v>
      </c>
      <c r="P17">
        <v>35</v>
      </c>
      <c r="Q17" s="8">
        <f t="shared" si="3"/>
        <v>1.7028380952380955E-2</v>
      </c>
    </row>
    <row r="18" spans="2:17" x14ac:dyDescent="0.2">
      <c r="C18" t="s">
        <v>4</v>
      </c>
      <c r="D18">
        <f>D19*D20*30</f>
        <v>150000</v>
      </c>
      <c r="G18">
        <v>40</v>
      </c>
      <c r="H18" s="8">
        <f t="shared" si="0"/>
        <v>5.0924833333333336E-2</v>
      </c>
      <c r="J18">
        <v>40</v>
      </c>
      <c r="K18" s="4">
        <f t="shared" si="1"/>
        <v>4.2024833333333338E-2</v>
      </c>
      <c r="M18">
        <v>40</v>
      </c>
      <c r="N18" s="8">
        <f t="shared" si="2"/>
        <v>2.7024833333333335E-2</v>
      </c>
      <c r="P18">
        <v>40</v>
      </c>
      <c r="Q18" s="8">
        <f t="shared" si="3"/>
        <v>1.7024833333333336E-2</v>
      </c>
    </row>
    <row r="19" spans="2:17" x14ac:dyDescent="0.2">
      <c r="C19" t="s">
        <v>24</v>
      </c>
      <c r="D19">
        <v>50</v>
      </c>
      <c r="G19">
        <v>45</v>
      </c>
      <c r="H19" s="8">
        <f t="shared" si="0"/>
        <v>4.8144296296296296E-2</v>
      </c>
      <c r="J19">
        <v>45</v>
      </c>
      <c r="K19" s="4">
        <f t="shared" si="1"/>
        <v>3.9244296296296305E-2</v>
      </c>
      <c r="M19">
        <v>45</v>
      </c>
      <c r="N19" s="8">
        <f t="shared" si="2"/>
        <v>2.7022074074074073E-2</v>
      </c>
      <c r="P19">
        <v>45</v>
      </c>
      <c r="Q19" s="8">
        <f t="shared" si="3"/>
        <v>1.7022074074074075E-2</v>
      </c>
    </row>
    <row r="20" spans="2:17" x14ac:dyDescent="0.2">
      <c r="C20" t="s">
        <v>21</v>
      </c>
      <c r="D20">
        <v>100</v>
      </c>
      <c r="G20">
        <v>50</v>
      </c>
      <c r="H20" s="8">
        <f t="shared" si="0"/>
        <v>4.5919866666666663E-2</v>
      </c>
      <c r="J20">
        <v>50</v>
      </c>
      <c r="K20" s="4">
        <f t="shared" si="1"/>
        <v>3.7019866666666672E-2</v>
      </c>
      <c r="M20">
        <v>50</v>
      </c>
      <c r="N20" s="8">
        <f t="shared" si="2"/>
        <v>2.7019866666666666E-2</v>
      </c>
      <c r="P20">
        <v>50</v>
      </c>
      <c r="Q20" s="8">
        <f t="shared" si="3"/>
        <v>1.7019866666666668E-2</v>
      </c>
    </row>
    <row r="21" spans="2:17" x14ac:dyDescent="0.2">
      <c r="G21">
        <v>55</v>
      </c>
      <c r="H21" s="8">
        <f t="shared" si="0"/>
        <v>4.4099878787878785E-2</v>
      </c>
      <c r="J21">
        <v>55</v>
      </c>
      <c r="K21" s="4">
        <f t="shared" si="1"/>
        <v>3.5199878787878787E-2</v>
      </c>
      <c r="M21">
        <v>55</v>
      </c>
      <c r="N21" s="8">
        <f t="shared" si="2"/>
        <v>2.7018060606060604E-2</v>
      </c>
      <c r="P21">
        <v>55</v>
      </c>
      <c r="Q21" s="8">
        <f t="shared" si="3"/>
        <v>1.7018060606060606E-2</v>
      </c>
    </row>
    <row r="22" spans="2:17" x14ac:dyDescent="0.2">
      <c r="G22">
        <v>60</v>
      </c>
      <c r="H22" s="8">
        <f t="shared" si="0"/>
        <v>4.2583222222222224E-2</v>
      </c>
      <c r="J22">
        <v>60</v>
      </c>
      <c r="K22" s="4">
        <f t="shared" si="1"/>
        <v>3.3683222222222219E-2</v>
      </c>
      <c r="M22">
        <v>60</v>
      </c>
      <c r="N22" s="8">
        <f t="shared" si="2"/>
        <v>2.7016555555555554E-2</v>
      </c>
      <c r="P22">
        <v>60</v>
      </c>
      <c r="Q22" s="8">
        <f t="shared" si="3"/>
        <v>1.7016555555555556E-2</v>
      </c>
    </row>
    <row r="23" spans="2:17" x14ac:dyDescent="0.2">
      <c r="G23">
        <v>70</v>
      </c>
      <c r="H23" s="8">
        <f t="shared" si="0"/>
        <v>4.0199904761904756E-2</v>
      </c>
      <c r="J23">
        <v>70</v>
      </c>
      <c r="K23" s="4">
        <f t="shared" si="1"/>
        <v>3.1299904761904758E-2</v>
      </c>
      <c r="M23">
        <v>70</v>
      </c>
      <c r="N23" s="8">
        <f t="shared" si="2"/>
        <v>2.7014190476190476E-2</v>
      </c>
      <c r="P23">
        <v>70</v>
      </c>
      <c r="Q23" s="8">
        <f t="shared" si="3"/>
        <v>1.7014190476190478E-2</v>
      </c>
    </row>
    <row r="24" spans="2:17" x14ac:dyDescent="0.2">
      <c r="G24">
        <v>80</v>
      </c>
      <c r="H24" s="8">
        <f t="shared" si="0"/>
        <v>3.8412416666666671E-2</v>
      </c>
      <c r="J24">
        <v>80</v>
      </c>
      <c r="K24" s="4">
        <f t="shared" si="1"/>
        <v>2.9512416666666669E-2</v>
      </c>
      <c r="M24">
        <v>80</v>
      </c>
      <c r="N24" s="8">
        <f t="shared" si="2"/>
        <v>2.7012416666666667E-2</v>
      </c>
      <c r="P24">
        <v>80</v>
      </c>
      <c r="Q24" s="8">
        <f t="shared" si="3"/>
        <v>1.7012416666666669E-2</v>
      </c>
    </row>
    <row r="25" spans="2:17" x14ac:dyDescent="0.2">
      <c r="G25">
        <v>90</v>
      </c>
      <c r="H25" s="8">
        <f t="shared" si="0"/>
        <v>3.7022148148148151E-2</v>
      </c>
      <c r="J25">
        <v>90</v>
      </c>
      <c r="K25" s="4">
        <f t="shared" si="1"/>
        <v>2.8122148148148153E-2</v>
      </c>
      <c r="M25">
        <v>90</v>
      </c>
      <c r="N25" s="8">
        <f t="shared" si="2"/>
        <v>2.7011037037037038E-2</v>
      </c>
      <c r="P25">
        <v>90</v>
      </c>
      <c r="Q25" s="8">
        <f t="shared" si="3"/>
        <v>1.701103703703704E-2</v>
      </c>
    </row>
    <row r="26" spans="2:17" x14ac:dyDescent="0.2">
      <c r="C26">
        <f>(D17*D19*D20*30)</f>
        <v>4050000</v>
      </c>
      <c r="D26">
        <f>C26*0.005</f>
        <v>20250</v>
      </c>
      <c r="E26">
        <f>(D26)-(7*D20*4)</f>
        <v>17450</v>
      </c>
      <c r="F26">
        <f>E26/D26</f>
        <v>0.86172839506172838</v>
      </c>
      <c r="G26">
        <v>100</v>
      </c>
      <c r="H26" s="8">
        <f t="shared" si="0"/>
        <v>3.5909933333333338E-2</v>
      </c>
      <c r="J26">
        <v>100</v>
      </c>
      <c r="K26" s="4">
        <f t="shared" si="1"/>
        <v>2.7009933333333336E-2</v>
      </c>
      <c r="M26">
        <v>100</v>
      </c>
      <c r="N26" s="8">
        <f t="shared" si="2"/>
        <v>2.7009933333333333E-2</v>
      </c>
      <c r="P26">
        <v>100</v>
      </c>
      <c r="Q26" s="8">
        <f t="shared" si="3"/>
        <v>1.7009933333333335E-2</v>
      </c>
    </row>
    <row r="28" spans="2:17" x14ac:dyDescent="0.2">
      <c r="J28" t="s">
        <v>14</v>
      </c>
      <c r="K28" t="s">
        <v>13</v>
      </c>
    </row>
    <row r="29" spans="2:17" x14ac:dyDescent="0.2">
      <c r="C29">
        <f>24000/30</f>
        <v>800</v>
      </c>
      <c r="D29">
        <f>C29/25</f>
        <v>32</v>
      </c>
      <c r="G29" s="117">
        <v>7.0000000000000007E-2</v>
      </c>
      <c r="H29" s="118"/>
      <c r="I29" t="s">
        <v>12</v>
      </c>
      <c r="J29">
        <f>D18</f>
        <v>150000</v>
      </c>
      <c r="K29" s="3">
        <f>J29/30</f>
        <v>5000</v>
      </c>
    </row>
    <row r="30" spans="2:17" x14ac:dyDescent="0.2">
      <c r="G30">
        <v>20</v>
      </c>
      <c r="H30" s="9">
        <f t="shared" ref="H30:H42" si="4">G30*($G$29-H14)*$J$29</f>
        <v>-17848.999999999975</v>
      </c>
    </row>
    <row r="31" spans="2:17" x14ac:dyDescent="0.2">
      <c r="G31">
        <v>27</v>
      </c>
      <c r="H31" s="9">
        <f t="shared" si="4"/>
        <v>28455.999999999985</v>
      </c>
    </row>
    <row r="32" spans="2:17" x14ac:dyDescent="0.2">
      <c r="G32">
        <v>30</v>
      </c>
      <c r="H32" s="9">
        <f t="shared" si="4"/>
        <v>48301.000000000051</v>
      </c>
    </row>
    <row r="33" spans="7:8" x14ac:dyDescent="0.2">
      <c r="G33">
        <v>35</v>
      </c>
      <c r="H33" s="9">
        <f t="shared" si="4"/>
        <v>81376.000000000015</v>
      </c>
    </row>
    <row r="34" spans="7:8" x14ac:dyDescent="0.2">
      <c r="G34">
        <v>40</v>
      </c>
      <c r="H34" s="9">
        <f t="shared" si="4"/>
        <v>114451.00000000003</v>
      </c>
    </row>
    <row r="35" spans="7:8" x14ac:dyDescent="0.2">
      <c r="G35">
        <v>45</v>
      </c>
      <c r="H35" s="9">
        <f t="shared" si="4"/>
        <v>147526.00000000006</v>
      </c>
    </row>
    <row r="36" spans="7:8" x14ac:dyDescent="0.2">
      <c r="G36">
        <v>50</v>
      </c>
      <c r="H36" s="9">
        <f t="shared" si="4"/>
        <v>180601.00000000006</v>
      </c>
    </row>
    <row r="37" spans="7:8" x14ac:dyDescent="0.2">
      <c r="G37">
        <v>55</v>
      </c>
      <c r="H37" s="9">
        <f t="shared" si="4"/>
        <v>213676.00000000009</v>
      </c>
    </row>
    <row r="38" spans="7:8" x14ac:dyDescent="0.2">
      <c r="G38">
        <v>60</v>
      </c>
      <c r="H38" s="9">
        <f t="shared" si="4"/>
        <v>246751.00000000003</v>
      </c>
    </row>
    <row r="39" spans="7:8" x14ac:dyDescent="0.2">
      <c r="G39">
        <v>70</v>
      </c>
      <c r="H39" s="9">
        <f t="shared" si="4"/>
        <v>312901.00000000012</v>
      </c>
    </row>
    <row r="40" spans="7:8" x14ac:dyDescent="0.2">
      <c r="G40">
        <v>80</v>
      </c>
      <c r="H40" s="9">
        <f t="shared" si="4"/>
        <v>379051</v>
      </c>
    </row>
    <row r="41" spans="7:8" x14ac:dyDescent="0.2">
      <c r="G41">
        <v>90</v>
      </c>
      <c r="H41" s="9">
        <f t="shared" si="4"/>
        <v>445201.00000000006</v>
      </c>
    </row>
    <row r="42" spans="7:8" x14ac:dyDescent="0.2">
      <c r="G42">
        <v>100</v>
      </c>
      <c r="H42" s="9">
        <f t="shared" si="4"/>
        <v>511351.00000000006</v>
      </c>
    </row>
  </sheetData>
  <scenarios current="0" show="0">
    <scenario name="Pick Up cost " locked="1" count="12" user="lulu alzamil" comment="Created by lulu alzamil on 16/03/2019_x000d_Modified by lulu alzamil on 16/03/2019">
      <inputCells r="G13" val="30"/>
      <inputCells r="G16" val="35"/>
      <inputCells r="G15" val="40"/>
      <inputCells r="G17" val="50"/>
      <inputCells r="G18" val=""/>
      <inputCells r="G19" val=""/>
      <inputCells r="G20" val=""/>
      <inputCells r="G21" val=""/>
      <inputCells r="G22" val=""/>
      <inputCells r="G23" val=""/>
      <inputCells r="G24" val=""/>
      <inputCells r="G25" val=""/>
    </scenario>
    <scenario name="pick up " locked="1" count="1" user="lulu alzamil" comment="Created by lulu alzamil on 16/03/2019">
      <inputCells r="D17" val="30"/>
    </scenario>
  </scenarios>
  <mergeCells count="14">
    <mergeCell ref="J2:K4"/>
    <mergeCell ref="F2:F4"/>
    <mergeCell ref="P11:Q11"/>
    <mergeCell ref="P12:Q12"/>
    <mergeCell ref="S12:T12"/>
    <mergeCell ref="M11:N11"/>
    <mergeCell ref="M12:N12"/>
    <mergeCell ref="G29:H29"/>
    <mergeCell ref="J11:K11"/>
    <mergeCell ref="G11:H11"/>
    <mergeCell ref="C7:D7"/>
    <mergeCell ref="C10:D10"/>
    <mergeCell ref="G12:H12"/>
    <mergeCell ref="J12:K12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3:F54"/>
  <sheetViews>
    <sheetView topLeftCell="A22" workbookViewId="0">
      <selection activeCell="D57" sqref="D57"/>
    </sheetView>
  </sheetViews>
  <sheetFormatPr baseColWidth="10" defaultColWidth="11" defaultRowHeight="16" x14ac:dyDescent="0.2"/>
  <cols>
    <col min="3" max="3" width="27.1640625" bestFit="1" customWidth="1"/>
    <col min="4" max="4" width="14.1640625" bestFit="1" customWidth="1"/>
    <col min="5" max="5" width="21.83203125" customWidth="1"/>
    <col min="6" max="6" width="19" customWidth="1"/>
    <col min="7" max="7" width="18.33203125" customWidth="1"/>
  </cols>
  <sheetData>
    <row r="3" spans="3:6" x14ac:dyDescent="0.2">
      <c r="C3" t="s">
        <v>84</v>
      </c>
    </row>
    <row r="4" spans="3:6" x14ac:dyDescent="0.2">
      <c r="C4" s="13" t="s">
        <v>37</v>
      </c>
      <c r="D4">
        <f>27</f>
        <v>27</v>
      </c>
      <c r="E4" t="s">
        <v>106</v>
      </c>
    </row>
    <row r="5" spans="3:6" x14ac:dyDescent="0.2">
      <c r="C5" s="13" t="s">
        <v>82</v>
      </c>
      <c r="D5">
        <v>300</v>
      </c>
      <c r="E5" t="s">
        <v>105</v>
      </c>
    </row>
    <row r="6" spans="3:6" x14ac:dyDescent="0.2">
      <c r="C6" s="13" t="s">
        <v>83</v>
      </c>
      <c r="D6" s="12">
        <v>0.1</v>
      </c>
      <c r="E6" t="s">
        <v>103</v>
      </c>
      <c r="F6" t="s">
        <v>104</v>
      </c>
    </row>
    <row r="8" spans="3:6" x14ac:dyDescent="0.2">
      <c r="E8" t="s">
        <v>102</v>
      </c>
    </row>
    <row r="11" spans="3:6" x14ac:dyDescent="0.2">
      <c r="C11" s="17" t="s">
        <v>70</v>
      </c>
      <c r="D11" t="s">
        <v>95</v>
      </c>
      <c r="E11" t="s">
        <v>96</v>
      </c>
      <c r="F11" t="s">
        <v>97</v>
      </c>
    </row>
    <row r="12" spans="3:6" x14ac:dyDescent="0.2">
      <c r="C12" t="s">
        <v>98</v>
      </c>
      <c r="D12" s="3">
        <v>25</v>
      </c>
      <c r="E12" s="3">
        <f>D15</f>
        <v>69</v>
      </c>
      <c r="F12" s="3">
        <f>E15</f>
        <v>193</v>
      </c>
    </row>
    <row r="13" spans="3:6" x14ac:dyDescent="0.2">
      <c r="C13" s="18" t="s">
        <v>71</v>
      </c>
      <c r="D13" s="3">
        <f>SUM('Revenue &amp; COGS assumtions'!C4:N4)</f>
        <v>53</v>
      </c>
      <c r="E13" s="3">
        <f>SUM('Revenue &amp; COGS assumtions'!O4:Z4)</f>
        <v>189</v>
      </c>
      <c r="F13" s="3">
        <f>SUM('Revenue &amp; COGS assumtions'!AA4:AL4)</f>
        <v>533</v>
      </c>
    </row>
    <row r="14" spans="3:6" x14ac:dyDescent="0.2">
      <c r="C14" s="19" t="s">
        <v>72</v>
      </c>
      <c r="D14" s="3">
        <f>SUM('Revenue &amp; COGS assumtions'!H5:N5)</f>
        <v>9</v>
      </c>
      <c r="E14" s="3">
        <f>SUM('Revenue &amp; COGS assumtions'!O5:Z5)</f>
        <v>65</v>
      </c>
      <c r="F14" s="3">
        <f>SUM('Revenue &amp; COGS assumtions'!AA5:AL5)</f>
        <v>181</v>
      </c>
    </row>
    <row r="15" spans="3:6" x14ac:dyDescent="0.2">
      <c r="C15" s="20" t="s">
        <v>73</v>
      </c>
      <c r="D15" s="3">
        <f>D12+D13-D14</f>
        <v>69</v>
      </c>
      <c r="E15" s="3">
        <f>E12+E13-E14</f>
        <v>193</v>
      </c>
      <c r="F15" s="3">
        <f>F12+F13-F14</f>
        <v>545</v>
      </c>
    </row>
    <row r="16" spans="3:6" x14ac:dyDescent="0.2">
      <c r="C16" s="20"/>
    </row>
    <row r="17" spans="3:6" x14ac:dyDescent="0.2">
      <c r="C17" s="20" t="s">
        <v>100</v>
      </c>
      <c r="D17" s="29">
        <f>SUM('Revenue &amp; COGS assumtions'!C10:N10)</f>
        <v>465696</v>
      </c>
      <c r="E17" s="29">
        <f>SUM('Revenue &amp; COGS assumtions'!O10:Z10)</f>
        <v>1303776</v>
      </c>
      <c r="F17" s="29">
        <f>SUM('Revenue &amp; COGS assumtions'!AA10:AL10)</f>
        <v>3672000</v>
      </c>
    </row>
    <row r="18" spans="3:6" x14ac:dyDescent="0.2">
      <c r="C18" s="20" t="s">
        <v>99</v>
      </c>
      <c r="D18" s="29">
        <f>D17*D4</f>
        <v>12573792</v>
      </c>
      <c r="E18" s="26">
        <f>E17*D4</f>
        <v>35201952</v>
      </c>
      <c r="F18" s="26">
        <f>F17*D4</f>
        <v>99144000</v>
      </c>
    </row>
    <row r="19" spans="3:6" x14ac:dyDescent="0.2">
      <c r="C19" s="20"/>
      <c r="D19" s="29"/>
      <c r="E19" s="26"/>
      <c r="F19" s="26"/>
    </row>
    <row r="20" spans="3:6" x14ac:dyDescent="0.2">
      <c r="C20" s="20"/>
      <c r="D20" s="29"/>
      <c r="E20" s="26"/>
      <c r="F20" s="26"/>
    </row>
    <row r="21" spans="3:6" x14ac:dyDescent="0.2">
      <c r="C21" s="20" t="s">
        <v>107</v>
      </c>
      <c r="D21" s="29"/>
      <c r="E21" s="26"/>
      <c r="F21" s="26"/>
    </row>
    <row r="22" spans="3:6" x14ac:dyDescent="0.2">
      <c r="C22" s="20" t="s">
        <v>93</v>
      </c>
      <c r="D22" s="29"/>
      <c r="E22" s="26"/>
      <c r="F22" s="26"/>
    </row>
    <row r="25" spans="3:6" x14ac:dyDescent="0.2">
      <c r="C25" t="s">
        <v>74</v>
      </c>
    </row>
    <row r="26" spans="3:6" x14ac:dyDescent="0.2">
      <c r="C26" s="21" t="s">
        <v>75</v>
      </c>
    </row>
    <row r="27" spans="3:6" x14ac:dyDescent="0.2">
      <c r="C27" t="s">
        <v>26</v>
      </c>
      <c r="D27" s="29">
        <f>SUM('Revenue &amp; COGS assumtions'!C14:N14)</f>
        <v>32931</v>
      </c>
      <c r="E27" s="29">
        <f>SUM('Revenue &amp; COGS assumtions'!O14:Z14)</f>
        <v>92013</v>
      </c>
      <c r="F27" s="29">
        <f>SUM('Revenue &amp; COGS assumtions'!AA14:AL14)</f>
        <v>229343</v>
      </c>
    </row>
    <row r="28" spans="3:6" x14ac:dyDescent="0.2">
      <c r="C28" s="26" t="s">
        <v>33</v>
      </c>
      <c r="D28" s="29">
        <f>SUM('Revenue &amp; COGS assumtions'!C15:N15)</f>
        <v>544942.07999999996</v>
      </c>
      <c r="E28" s="29">
        <f>SUM('Revenue &amp; COGS assumtions'!O15:Z15)</f>
        <v>2816156.16</v>
      </c>
      <c r="F28" s="29">
        <f>SUM('Revenue &amp; COGS assumtions'!AA15:AL15)</f>
        <v>7931520</v>
      </c>
    </row>
    <row r="29" spans="3:6" ht="17" thickBot="1" x14ac:dyDescent="0.25">
      <c r="C29" s="27" t="s">
        <v>76</v>
      </c>
      <c r="D29" s="26">
        <f>SUM(D27:D28)</f>
        <v>577873.07999999996</v>
      </c>
      <c r="E29" s="26">
        <f>SUM(E27:E28)</f>
        <v>2908169.16</v>
      </c>
      <c r="F29" s="29">
        <f>SUM('Revenue &amp; COGS assumtions'!AA17:AL17)</f>
        <v>8184863</v>
      </c>
    </row>
    <row r="30" spans="3:6" ht="17" thickTop="1" x14ac:dyDescent="0.2"/>
    <row r="31" spans="3:6" x14ac:dyDescent="0.2">
      <c r="C31" s="24" t="s">
        <v>77</v>
      </c>
    </row>
    <row r="32" spans="3:6" x14ac:dyDescent="0.2">
      <c r="C32" s="23" t="s">
        <v>26</v>
      </c>
    </row>
    <row r="33" spans="3:6" x14ac:dyDescent="0.2">
      <c r="C33" t="s">
        <v>78</v>
      </c>
      <c r="D33" s="26">
        <f>SUM('Revenue &amp; COGS assumtions'!C21:N21)</f>
        <v>4939.6500000000005</v>
      </c>
      <c r="E33" s="25">
        <f>SUM('Revenue &amp; COGS assumtions'!O21:Z21)</f>
        <v>13801.95</v>
      </c>
      <c r="F33" s="26">
        <f>SUM('Revenue &amp; COGS assumtions'!AA21:AM21)</f>
        <v>37479.449999999997</v>
      </c>
    </row>
    <row r="34" spans="3:6" x14ac:dyDescent="0.2">
      <c r="C34" s="22" t="s">
        <v>79</v>
      </c>
      <c r="D34" s="25">
        <f>SUM('Revenue &amp; COGS assumtions'!C22:N22)</f>
        <v>754.62</v>
      </c>
      <c r="E34" s="25">
        <f>SUM('Revenue &amp; COGS assumtions'!O22:Z22)</f>
        <v>2018.2600000000002</v>
      </c>
      <c r="F34" s="26">
        <f>SUM('Revenue &amp; COGS assumtions'!AA22:AM22)</f>
        <v>5479.26</v>
      </c>
    </row>
    <row r="35" spans="3:6" x14ac:dyDescent="0.2">
      <c r="C35" s="22" t="s">
        <v>80</v>
      </c>
      <c r="D35" s="29">
        <f>SUM('Revenue &amp; COGS assumtions'!C23:N23)</f>
        <v>5300</v>
      </c>
      <c r="E35" s="25">
        <f>SUM('Revenue &amp; COGS assumtions'!O23:Z23)</f>
        <v>18900</v>
      </c>
      <c r="F35" s="26">
        <f>SUM('Revenue &amp; COGS assumtions'!AA23:AM23)</f>
        <v>60700</v>
      </c>
    </row>
    <row r="36" spans="3:6" ht="17" thickBot="1" x14ac:dyDescent="0.25">
      <c r="C36" s="27" t="s">
        <v>46</v>
      </c>
      <c r="D36" s="26">
        <f>SUM(D33:D35)</f>
        <v>10994.27</v>
      </c>
      <c r="E36" s="25">
        <f>SUM('Revenue &amp; COGS assumtions'!O24:Z24)</f>
        <v>34720.209999999992</v>
      </c>
      <c r="F36" s="26">
        <f>SUM('Revenue &amp; COGS assumtions'!AA24:AM24)</f>
        <v>103658.70999999999</v>
      </c>
    </row>
    <row r="37" spans="3:6" ht="17" thickTop="1" x14ac:dyDescent="0.2">
      <c r="C37" s="21" t="s">
        <v>81</v>
      </c>
    </row>
    <row r="38" spans="3:6" x14ac:dyDescent="0.2">
      <c r="C38" s="22" t="s">
        <v>79</v>
      </c>
      <c r="D38" s="26">
        <f>SUM('Revenue &amp; COGS assumtions'!C26:N26)</f>
        <v>263186.84159999999</v>
      </c>
      <c r="E38" s="34" t="e">
        <f>SUM('Revenue &amp; COGS assumtions'!O26:Z26)/G5</f>
        <v>#DIV/0!</v>
      </c>
      <c r="F38" s="25">
        <f>SUM('Revenue &amp; COGS assumtions'!AA26:AL26)</f>
        <v>3830630.3999999994</v>
      </c>
    </row>
    <row r="39" spans="3:6" ht="17" thickBot="1" x14ac:dyDescent="0.25">
      <c r="C39" s="27" t="s">
        <v>87</v>
      </c>
      <c r="D39" s="26">
        <f>SUM(D36,D38)</f>
        <v>274181.1116</v>
      </c>
      <c r="E39" s="25" t="e">
        <f>SUM(E36,E38)</f>
        <v>#DIV/0!</v>
      </c>
      <c r="F39" s="25">
        <f>SUM(F36,F38)</f>
        <v>3934289.1099999994</v>
      </c>
    </row>
    <row r="40" spans="3:6" ht="17" thickTop="1" x14ac:dyDescent="0.2"/>
    <row r="42" spans="3:6" x14ac:dyDescent="0.2">
      <c r="C42" s="24" t="s">
        <v>86</v>
      </c>
    </row>
    <row r="43" spans="3:6" x14ac:dyDescent="0.2">
      <c r="C43" t="s">
        <v>60</v>
      </c>
      <c r="D43" s="29" t="e">
        <f>'Revenue &amp; COGS assumtions'!#REF!*12</f>
        <v>#REF!</v>
      </c>
      <c r="E43" s="29" t="e">
        <f>'Revenue &amp; COGS assumtions'!#REF!*12</f>
        <v>#REF!</v>
      </c>
      <c r="F43" s="29" t="e">
        <f>'Revenue &amp; COGS assumtions'!#REF!*12</f>
        <v>#REF!</v>
      </c>
    </row>
    <row r="44" spans="3:6" x14ac:dyDescent="0.2">
      <c r="C44" t="s">
        <v>25</v>
      </c>
      <c r="D44" s="29" t="e">
        <f>'Revenue &amp; COGS assumtions'!#REF!*12</f>
        <v>#REF!</v>
      </c>
      <c r="E44" s="29" t="e">
        <f>'Revenue &amp; COGS assumtions'!#REF!*12</f>
        <v>#REF!</v>
      </c>
      <c r="F44" s="29" t="e">
        <f>'Revenue &amp; COGS assumtions'!#REF!*12</f>
        <v>#REF!</v>
      </c>
    </row>
    <row r="45" spans="3:6" x14ac:dyDescent="0.2">
      <c r="C45" t="s">
        <v>40</v>
      </c>
      <c r="D45" s="29" t="e">
        <f>'Revenue &amp; COGS assumtions'!#REF!*12</f>
        <v>#REF!</v>
      </c>
      <c r="E45" s="31" t="e">
        <f>D45*1.2</f>
        <v>#REF!</v>
      </c>
      <c r="F45" s="31" t="e">
        <f>E45*1.2</f>
        <v>#REF!</v>
      </c>
    </row>
    <row r="46" spans="3:6" x14ac:dyDescent="0.2">
      <c r="C46" t="s">
        <v>54</v>
      </c>
      <c r="D46" s="29" t="e">
        <f>'Revenue &amp; COGS assumtions'!#REF!*12</f>
        <v>#REF!</v>
      </c>
      <c r="E46" s="30" t="e">
        <f>D46*2</f>
        <v>#REF!</v>
      </c>
      <c r="F46" s="30" t="e">
        <f>E46*2</f>
        <v>#REF!</v>
      </c>
    </row>
    <row r="47" spans="3:6" x14ac:dyDescent="0.2">
      <c r="C47" t="s">
        <v>41</v>
      </c>
      <c r="D47" s="29" t="e">
        <f>'Revenue &amp; COGS assumtions'!#REF!*12</f>
        <v>#REF!</v>
      </c>
      <c r="E47" s="32" t="e">
        <f>D47*4</f>
        <v>#REF!</v>
      </c>
      <c r="F47" s="32" t="e">
        <f>E47*3</f>
        <v>#REF!</v>
      </c>
    </row>
    <row r="48" spans="3:6" x14ac:dyDescent="0.2">
      <c r="C48" t="s">
        <v>43</v>
      </c>
      <c r="D48" s="29">
        <f>D17*0.2*0.12</f>
        <v>11176.704000000002</v>
      </c>
      <c r="E48" s="29">
        <f t="shared" ref="E48:F48" si="0">E17*0.2*0.12</f>
        <v>31290.624</v>
      </c>
      <c r="F48" s="29">
        <f t="shared" si="0"/>
        <v>88128</v>
      </c>
    </row>
    <row r="49" spans="3:6" x14ac:dyDescent="0.2">
      <c r="C49" t="s">
        <v>45</v>
      </c>
      <c r="D49" s="29" t="e">
        <f>'Revenue &amp; COGS assumtions'!#REF!*12</f>
        <v>#REF!</v>
      </c>
      <c r="E49" s="15"/>
      <c r="F49" s="15"/>
    </row>
    <row r="50" spans="3:6" ht="17" thickBot="1" x14ac:dyDescent="0.25">
      <c r="C50" s="27" t="s">
        <v>87</v>
      </c>
      <c r="D50" s="26" t="e">
        <f>SUM(D43:D49)</f>
        <v>#REF!</v>
      </c>
      <c r="E50" s="26" t="e">
        <f t="shared" ref="E50:F50" si="1">SUM(E43:E49)</f>
        <v>#REF!</v>
      </c>
      <c r="F50" s="26" t="e">
        <f t="shared" si="1"/>
        <v>#REF!</v>
      </c>
    </row>
    <row r="51" spans="3:6" ht="17" thickTop="1" x14ac:dyDescent="0.2"/>
    <row r="52" spans="3:6" ht="17" thickBot="1" x14ac:dyDescent="0.25">
      <c r="C52" s="27" t="s">
        <v>88</v>
      </c>
      <c r="D52" s="26" t="e">
        <f>D29-D39-D50</f>
        <v>#REF!</v>
      </c>
      <c r="E52" s="34" t="e">
        <f>E29-E36-E39-E50</f>
        <v>#DIV/0!</v>
      </c>
      <c r="F52" s="25" t="e">
        <f>F29-F36-F39-F50</f>
        <v>#REF!</v>
      </c>
    </row>
    <row r="53" spans="3:6" ht="17" thickTop="1" x14ac:dyDescent="0.2"/>
    <row r="54" spans="3:6" x14ac:dyDescent="0.2">
      <c r="C54" s="28" t="s">
        <v>94</v>
      </c>
    </row>
  </sheetData>
  <pageMargins left="0.75" right="0.75" top="1" bottom="1" header="0.5" footer="0.5"/>
  <pageSetup paperSize="9"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D3:N28"/>
  <sheetViews>
    <sheetView topLeftCell="A10" workbookViewId="0">
      <selection activeCell="J27" sqref="J27"/>
    </sheetView>
  </sheetViews>
  <sheetFormatPr baseColWidth="10" defaultColWidth="11" defaultRowHeight="16" x14ac:dyDescent="0.2"/>
  <cols>
    <col min="4" max="4" width="30.33203125" customWidth="1"/>
  </cols>
  <sheetData>
    <row r="3" spans="4:11" x14ac:dyDescent="0.2">
      <c r="D3" t="s">
        <v>115</v>
      </c>
    </row>
    <row r="4" spans="4:11" x14ac:dyDescent="0.2">
      <c r="E4" t="s">
        <v>117</v>
      </c>
      <c r="F4" t="s">
        <v>118</v>
      </c>
      <c r="G4">
        <v>151</v>
      </c>
    </row>
    <row r="5" spans="4:11" x14ac:dyDescent="0.2">
      <c r="D5" t="s">
        <v>116</v>
      </c>
      <c r="E5">
        <f>600*$K$8</f>
        <v>2250</v>
      </c>
      <c r="F5">
        <f>1200*$K$8</f>
        <v>4500</v>
      </c>
      <c r="G5">
        <f>3000*$K$8</f>
        <v>11250</v>
      </c>
    </row>
    <row r="6" spans="4:11" x14ac:dyDescent="0.2">
      <c r="D6" t="s">
        <v>119</v>
      </c>
      <c r="E6">
        <f>30*$K$8</f>
        <v>112.5</v>
      </c>
      <c r="F6">
        <f>27*$K$8</f>
        <v>101.25</v>
      </c>
      <c r="G6">
        <f>24*$K$8</f>
        <v>90</v>
      </c>
    </row>
    <row r="7" spans="4:11" x14ac:dyDescent="0.2">
      <c r="D7" t="s">
        <v>121</v>
      </c>
      <c r="E7">
        <f>E5/1+E6</f>
        <v>2362.5</v>
      </c>
      <c r="F7" s="3">
        <f>(1200/11+F6)</f>
        <v>210.34090909090909</v>
      </c>
      <c r="G7" s="3">
        <f>(G5/151+24)</f>
        <v>98.503311258278146</v>
      </c>
    </row>
    <row r="8" spans="4:11" x14ac:dyDescent="0.2">
      <c r="D8" t="s">
        <v>122</v>
      </c>
      <c r="E8">
        <f>E7</f>
        <v>2362.5</v>
      </c>
      <c r="F8">
        <f>F7*11</f>
        <v>2313.75</v>
      </c>
      <c r="G8">
        <f>G7*151</f>
        <v>14874</v>
      </c>
      <c r="J8" t="s">
        <v>134</v>
      </c>
      <c r="K8">
        <v>3.75</v>
      </c>
    </row>
    <row r="9" spans="4:11" x14ac:dyDescent="0.2">
      <c r="D9" t="s">
        <v>120</v>
      </c>
    </row>
    <row r="10" spans="4:11" x14ac:dyDescent="0.2">
      <c r="D10" t="s">
        <v>32</v>
      </c>
      <c r="E10">
        <v>240</v>
      </c>
    </row>
    <row r="11" spans="4:11" x14ac:dyDescent="0.2">
      <c r="D11" t="s">
        <v>128</v>
      </c>
      <c r="E11">
        <v>300</v>
      </c>
    </row>
    <row r="12" spans="4:11" x14ac:dyDescent="0.2">
      <c r="D12" t="s">
        <v>129</v>
      </c>
      <c r="E12" s="12">
        <v>0.05</v>
      </c>
    </row>
    <row r="13" spans="4:11" x14ac:dyDescent="0.2">
      <c r="D13" t="s">
        <v>131</v>
      </c>
      <c r="E13">
        <v>27</v>
      </c>
    </row>
    <row r="14" spans="4:11" x14ac:dyDescent="0.2">
      <c r="D14" t="s">
        <v>133</v>
      </c>
      <c r="E14" s="12">
        <v>0.08</v>
      </c>
    </row>
    <row r="17" spans="4:14" x14ac:dyDescent="0.2">
      <c r="E17">
        <v>1</v>
      </c>
      <c r="F17">
        <v>5</v>
      </c>
      <c r="G17">
        <v>10</v>
      </c>
      <c r="H17">
        <v>20</v>
      </c>
      <c r="I17">
        <v>30</v>
      </c>
      <c r="J17">
        <v>40</v>
      </c>
      <c r="K17">
        <v>50</v>
      </c>
      <c r="L17">
        <v>100</v>
      </c>
      <c r="M17">
        <v>150</v>
      </c>
      <c r="N17">
        <v>200</v>
      </c>
    </row>
    <row r="18" spans="4:14" x14ac:dyDescent="0.2">
      <c r="D18" t="s">
        <v>123</v>
      </c>
      <c r="E18">
        <f>IF(E17&lt;=10,$E$5,$F$5)</f>
        <v>2250</v>
      </c>
      <c r="F18">
        <f t="shared" ref="F18:N18" si="0">IF(F17&lt;=10,$E$5,$F$5)</f>
        <v>2250</v>
      </c>
      <c r="G18">
        <f t="shared" si="0"/>
        <v>2250</v>
      </c>
      <c r="H18">
        <f t="shared" si="0"/>
        <v>4500</v>
      </c>
      <c r="I18">
        <f t="shared" si="0"/>
        <v>4500</v>
      </c>
      <c r="J18">
        <f t="shared" si="0"/>
        <v>4500</v>
      </c>
      <c r="K18">
        <f t="shared" si="0"/>
        <v>4500</v>
      </c>
      <c r="L18">
        <f t="shared" si="0"/>
        <v>4500</v>
      </c>
      <c r="M18">
        <f t="shared" si="0"/>
        <v>4500</v>
      </c>
      <c r="N18">
        <f t="shared" si="0"/>
        <v>4500</v>
      </c>
    </row>
    <row r="19" spans="4:14" x14ac:dyDescent="0.2">
      <c r="D19" t="s">
        <v>124</v>
      </c>
      <c r="E19">
        <f>IF(E17&lt;=10,$E$6,$F$6)</f>
        <v>112.5</v>
      </c>
      <c r="F19">
        <f t="shared" ref="F19:N19" si="1">IF(F17&lt;=10,$E$6,$F$6)</f>
        <v>112.5</v>
      </c>
      <c r="G19">
        <f t="shared" si="1"/>
        <v>112.5</v>
      </c>
      <c r="H19">
        <f t="shared" si="1"/>
        <v>101.25</v>
      </c>
      <c r="I19">
        <f t="shared" si="1"/>
        <v>101.25</v>
      </c>
      <c r="J19">
        <f t="shared" si="1"/>
        <v>101.25</v>
      </c>
      <c r="K19">
        <f t="shared" si="1"/>
        <v>101.25</v>
      </c>
      <c r="L19">
        <f t="shared" si="1"/>
        <v>101.25</v>
      </c>
      <c r="M19">
        <f t="shared" si="1"/>
        <v>101.25</v>
      </c>
      <c r="N19">
        <f t="shared" si="1"/>
        <v>101.25</v>
      </c>
    </row>
    <row r="20" spans="4:14" x14ac:dyDescent="0.2">
      <c r="D20" t="s">
        <v>125</v>
      </c>
      <c r="E20">
        <f>E18/E17+E19</f>
        <v>2362.5</v>
      </c>
      <c r="F20">
        <f t="shared" ref="F20:N20" si="2">F18/F17+F19</f>
        <v>562.5</v>
      </c>
      <c r="G20">
        <f t="shared" si="2"/>
        <v>337.5</v>
      </c>
      <c r="H20">
        <f>H18/H17+H19</f>
        <v>326.25</v>
      </c>
      <c r="I20">
        <f t="shared" si="2"/>
        <v>251.25</v>
      </c>
      <c r="J20">
        <f t="shared" si="2"/>
        <v>213.75</v>
      </c>
      <c r="K20">
        <f t="shared" si="2"/>
        <v>191.25</v>
      </c>
      <c r="L20">
        <f t="shared" si="2"/>
        <v>146.25</v>
      </c>
      <c r="M20">
        <f t="shared" si="2"/>
        <v>131.25</v>
      </c>
      <c r="N20">
        <f t="shared" si="2"/>
        <v>123.75</v>
      </c>
    </row>
    <row r="21" spans="4:14" x14ac:dyDescent="0.2">
      <c r="D21" t="s">
        <v>126</v>
      </c>
      <c r="E21">
        <f>E20*E17</f>
        <v>2362.5</v>
      </c>
      <c r="F21">
        <f>F20*F17</f>
        <v>2812.5</v>
      </c>
      <c r="G21">
        <f t="shared" ref="G21:N21" si="3">G20*G17</f>
        <v>3375</v>
      </c>
      <c r="H21">
        <f>H20*H17</f>
        <v>6525</v>
      </c>
      <c r="I21">
        <f t="shared" si="3"/>
        <v>7537.5</v>
      </c>
      <c r="J21">
        <f t="shared" si="3"/>
        <v>8550</v>
      </c>
      <c r="K21">
        <f t="shared" si="3"/>
        <v>9562.5</v>
      </c>
      <c r="L21">
        <f t="shared" si="3"/>
        <v>14625</v>
      </c>
      <c r="M21">
        <f t="shared" si="3"/>
        <v>19687.5</v>
      </c>
      <c r="N21">
        <f t="shared" si="3"/>
        <v>24750</v>
      </c>
    </row>
    <row r="23" spans="4:14" x14ac:dyDescent="0.2">
      <c r="D23" t="s">
        <v>22</v>
      </c>
    </row>
    <row r="24" spans="4:14" x14ac:dyDescent="0.2">
      <c r="D24" t="s">
        <v>32</v>
      </c>
      <c r="E24">
        <f>$E$10*E17</f>
        <v>240</v>
      </c>
      <c r="F24">
        <f t="shared" ref="F24:N24" si="4">$E$10*F17</f>
        <v>1200</v>
      </c>
      <c r="G24">
        <f t="shared" si="4"/>
        <v>2400</v>
      </c>
      <c r="H24">
        <f t="shared" si="4"/>
        <v>4800</v>
      </c>
      <c r="I24">
        <f t="shared" si="4"/>
        <v>7200</v>
      </c>
      <c r="J24">
        <f t="shared" si="4"/>
        <v>9600</v>
      </c>
      <c r="K24">
        <f t="shared" si="4"/>
        <v>12000</v>
      </c>
      <c r="L24">
        <f t="shared" si="4"/>
        <v>24000</v>
      </c>
      <c r="M24">
        <f t="shared" si="4"/>
        <v>36000</v>
      </c>
      <c r="N24">
        <f t="shared" si="4"/>
        <v>48000</v>
      </c>
    </row>
    <row r="25" spans="4:14" x14ac:dyDescent="0.2">
      <c r="D25" t="s">
        <v>127</v>
      </c>
      <c r="E25">
        <f>E17*$E$11</f>
        <v>300</v>
      </c>
      <c r="F25">
        <f t="shared" ref="F25:N25" si="5">F17*$E$11</f>
        <v>1500</v>
      </c>
      <c r="G25">
        <f t="shared" si="5"/>
        <v>3000</v>
      </c>
      <c r="H25">
        <f t="shared" si="5"/>
        <v>6000</v>
      </c>
      <c r="I25">
        <f t="shared" si="5"/>
        <v>9000</v>
      </c>
      <c r="J25">
        <f t="shared" si="5"/>
        <v>12000</v>
      </c>
      <c r="K25">
        <f t="shared" si="5"/>
        <v>15000</v>
      </c>
      <c r="L25">
        <f t="shared" si="5"/>
        <v>30000</v>
      </c>
      <c r="M25">
        <f t="shared" si="5"/>
        <v>45000</v>
      </c>
      <c r="N25">
        <f t="shared" si="5"/>
        <v>60000</v>
      </c>
    </row>
    <row r="26" spans="4:14" x14ac:dyDescent="0.2">
      <c r="D26" t="s">
        <v>130</v>
      </c>
      <c r="E26">
        <f>E25*$E$12</f>
        <v>15</v>
      </c>
      <c r="F26">
        <f t="shared" ref="F26:N26" si="6">F25*$E$12</f>
        <v>75</v>
      </c>
      <c r="G26">
        <f t="shared" si="6"/>
        <v>150</v>
      </c>
      <c r="H26">
        <f t="shared" si="6"/>
        <v>300</v>
      </c>
      <c r="I26">
        <f t="shared" si="6"/>
        <v>450</v>
      </c>
      <c r="J26">
        <f t="shared" si="6"/>
        <v>600</v>
      </c>
      <c r="K26">
        <f t="shared" si="6"/>
        <v>750</v>
      </c>
      <c r="L26">
        <f t="shared" si="6"/>
        <v>1500</v>
      </c>
      <c r="M26">
        <f t="shared" si="6"/>
        <v>2250</v>
      </c>
      <c r="N26">
        <f t="shared" si="6"/>
        <v>3000</v>
      </c>
    </row>
    <row r="27" spans="4:14" x14ac:dyDescent="0.2">
      <c r="D27" t="s">
        <v>132</v>
      </c>
      <c r="E27">
        <f>E26*$E$13</f>
        <v>405</v>
      </c>
      <c r="F27">
        <f t="shared" ref="F27:N27" si="7">F26*$E$13</f>
        <v>2025</v>
      </c>
      <c r="G27">
        <f t="shared" si="7"/>
        <v>4050</v>
      </c>
      <c r="H27">
        <f t="shared" si="7"/>
        <v>8100</v>
      </c>
      <c r="I27">
        <f t="shared" si="7"/>
        <v>12150</v>
      </c>
      <c r="J27">
        <f t="shared" si="7"/>
        <v>16200</v>
      </c>
      <c r="K27">
        <f t="shared" si="7"/>
        <v>20250</v>
      </c>
      <c r="L27">
        <f t="shared" si="7"/>
        <v>40500</v>
      </c>
      <c r="M27">
        <f t="shared" si="7"/>
        <v>60750</v>
      </c>
      <c r="N27">
        <f t="shared" si="7"/>
        <v>81000</v>
      </c>
    </row>
    <row r="28" spans="4:14" x14ac:dyDescent="0.2">
      <c r="D28" t="s">
        <v>75</v>
      </c>
      <c r="E28">
        <f>E27*$E$14</f>
        <v>32.4</v>
      </c>
      <c r="F28">
        <f t="shared" ref="F28:N28" si="8">F27*$E$14</f>
        <v>162</v>
      </c>
      <c r="G28">
        <f t="shared" si="8"/>
        <v>324</v>
      </c>
      <c r="H28">
        <f t="shared" si="8"/>
        <v>648</v>
      </c>
      <c r="I28">
        <f t="shared" si="8"/>
        <v>972</v>
      </c>
      <c r="J28">
        <f t="shared" si="8"/>
        <v>1296</v>
      </c>
      <c r="K28">
        <f t="shared" si="8"/>
        <v>1620</v>
      </c>
      <c r="L28">
        <f t="shared" si="8"/>
        <v>3240</v>
      </c>
      <c r="M28">
        <f t="shared" si="8"/>
        <v>4860</v>
      </c>
      <c r="N28">
        <f t="shared" si="8"/>
        <v>6480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W27"/>
  <sheetViews>
    <sheetView topLeftCell="A7" zoomScale="85" zoomScaleNormal="85" workbookViewId="0">
      <selection activeCell="D30" sqref="D30"/>
    </sheetView>
  </sheetViews>
  <sheetFormatPr baseColWidth="10" defaultColWidth="11" defaultRowHeight="16" x14ac:dyDescent="0.2"/>
  <cols>
    <col min="2" max="2" width="17.33203125" customWidth="1"/>
    <col min="4" max="4" width="34.5" customWidth="1"/>
    <col min="5" max="5" width="30.33203125" customWidth="1"/>
    <col min="9" max="9" width="19" customWidth="1"/>
    <col min="10" max="10" width="23.1640625" customWidth="1"/>
    <col min="12" max="18" width="13.83203125" bestFit="1" customWidth="1"/>
    <col min="19" max="22" width="15" bestFit="1" customWidth="1"/>
  </cols>
  <sheetData>
    <row r="3" spans="2:16" x14ac:dyDescent="0.2">
      <c r="E3" s="118" t="s">
        <v>56</v>
      </c>
      <c r="F3" s="118"/>
      <c r="G3" s="118"/>
    </row>
    <row r="4" spans="2:16" x14ac:dyDescent="0.2">
      <c r="B4" s="118" t="s">
        <v>27</v>
      </c>
      <c r="C4" s="118"/>
      <c r="J4" s="118" t="s">
        <v>61</v>
      </c>
      <c r="K4" s="118"/>
    </row>
    <row r="5" spans="2:16" x14ac:dyDescent="0.2">
      <c r="B5" s="13" t="s">
        <v>28</v>
      </c>
      <c r="C5" t="s">
        <v>31</v>
      </c>
      <c r="D5" t="s">
        <v>29</v>
      </c>
      <c r="E5" t="s">
        <v>36</v>
      </c>
      <c r="F5">
        <v>200</v>
      </c>
      <c r="J5" t="s">
        <v>36</v>
      </c>
      <c r="K5">
        <v>12000</v>
      </c>
      <c r="L5" s="12">
        <v>1</v>
      </c>
    </row>
    <row r="6" spans="2:16" x14ac:dyDescent="0.2">
      <c r="B6" s="13" t="s">
        <v>30</v>
      </c>
      <c r="C6" s="12">
        <v>0.3</v>
      </c>
      <c r="D6" t="s">
        <v>29</v>
      </c>
      <c r="E6" t="s">
        <v>58</v>
      </c>
      <c r="F6">
        <v>300</v>
      </c>
      <c r="J6" t="s">
        <v>62</v>
      </c>
      <c r="K6">
        <f>K5*0.2</f>
        <v>2400</v>
      </c>
      <c r="L6" s="12">
        <v>0.2</v>
      </c>
      <c r="O6" t="s">
        <v>69</v>
      </c>
      <c r="P6" s="16">
        <v>37135</v>
      </c>
    </row>
    <row r="7" spans="2:16" x14ac:dyDescent="0.2">
      <c r="B7" s="13" t="s">
        <v>32</v>
      </c>
      <c r="C7">
        <v>240</v>
      </c>
      <c r="D7" t="s">
        <v>22</v>
      </c>
      <c r="E7" t="s">
        <v>57</v>
      </c>
      <c r="F7" s="12">
        <v>0.1</v>
      </c>
      <c r="G7" s="12"/>
      <c r="H7" s="12"/>
      <c r="J7" t="s">
        <v>63</v>
      </c>
      <c r="K7">
        <f>0.04*K6</f>
        <v>96</v>
      </c>
      <c r="L7" t="s">
        <v>64</v>
      </c>
    </row>
    <row r="8" spans="2:16" x14ac:dyDescent="0.2">
      <c r="B8" s="13" t="s">
        <v>33</v>
      </c>
      <c r="C8" s="12">
        <v>7.0000000000000007E-2</v>
      </c>
      <c r="D8" t="s">
        <v>22</v>
      </c>
      <c r="E8" t="s">
        <v>37</v>
      </c>
      <c r="F8">
        <v>27</v>
      </c>
    </row>
    <row r="9" spans="2:16" x14ac:dyDescent="0.2">
      <c r="E9" t="s">
        <v>38</v>
      </c>
      <c r="F9" s="12">
        <v>0.5</v>
      </c>
      <c r="G9" s="12"/>
      <c r="H9" s="12"/>
    </row>
    <row r="13" spans="2:16" x14ac:dyDescent="0.2">
      <c r="B13" s="14" t="s">
        <v>34</v>
      </c>
      <c r="C13" s="14"/>
      <c r="D13" s="14"/>
    </row>
    <row r="14" spans="2:16" x14ac:dyDescent="0.2">
      <c r="B14" t="s">
        <v>35</v>
      </c>
      <c r="E14" s="14"/>
    </row>
    <row r="16" spans="2:16" x14ac:dyDescent="0.2">
      <c r="I16" t="s">
        <v>65</v>
      </c>
    </row>
    <row r="17" spans="2:23" x14ac:dyDescent="0.2">
      <c r="I17" t="s">
        <v>66</v>
      </c>
    </row>
    <row r="18" spans="2:23" x14ac:dyDescent="0.2">
      <c r="B18" t="s">
        <v>39</v>
      </c>
      <c r="C18" t="s">
        <v>42</v>
      </c>
      <c r="I18" t="s">
        <v>67</v>
      </c>
    </row>
    <row r="19" spans="2:23" x14ac:dyDescent="0.2">
      <c r="B19" t="s">
        <v>60</v>
      </c>
      <c r="C19">
        <v>3200</v>
      </c>
      <c r="I19" t="s">
        <v>68</v>
      </c>
    </row>
    <row r="20" spans="2:23" x14ac:dyDescent="0.2">
      <c r="B20" t="s">
        <v>25</v>
      </c>
      <c r="C20">
        <v>10000</v>
      </c>
      <c r="D20" t="s">
        <v>55</v>
      </c>
    </row>
    <row r="21" spans="2:23" x14ac:dyDescent="0.2">
      <c r="B21" t="s">
        <v>40</v>
      </c>
      <c r="C21">
        <v>20000</v>
      </c>
      <c r="D21" t="s">
        <v>47</v>
      </c>
    </row>
    <row r="22" spans="2:23" x14ac:dyDescent="0.2">
      <c r="B22" t="s">
        <v>54</v>
      </c>
      <c r="C22">
        <v>940</v>
      </c>
      <c r="D22" s="15" t="s">
        <v>59</v>
      </c>
    </row>
    <row r="23" spans="2:23" x14ac:dyDescent="0.2">
      <c r="B23" t="s">
        <v>41</v>
      </c>
      <c r="C23">
        <v>4000</v>
      </c>
      <c r="D23" t="s">
        <v>48</v>
      </c>
    </row>
    <row r="24" spans="2:23" x14ac:dyDescent="0.2">
      <c r="B24" t="s">
        <v>43</v>
      </c>
      <c r="C24">
        <v>1000</v>
      </c>
      <c r="D24" t="s">
        <v>49</v>
      </c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2:23" x14ac:dyDescent="0.2">
      <c r="B25" t="s">
        <v>44</v>
      </c>
      <c r="C25">
        <v>2166</v>
      </c>
      <c r="D25" t="s">
        <v>50</v>
      </c>
      <c r="E25" t="s">
        <v>51</v>
      </c>
      <c r="F25" t="s">
        <v>52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2:23" x14ac:dyDescent="0.2">
      <c r="B26" t="s">
        <v>45</v>
      </c>
      <c r="C26">
        <v>390</v>
      </c>
      <c r="D26" t="s">
        <v>53</v>
      </c>
    </row>
    <row r="27" spans="2:23" x14ac:dyDescent="0.2">
      <c r="B27" t="s">
        <v>46</v>
      </c>
      <c r="C27">
        <f>SUM(C20:C26)</f>
        <v>38496</v>
      </c>
    </row>
  </sheetData>
  <mergeCells count="3">
    <mergeCell ref="B4:C4"/>
    <mergeCell ref="E3:G3"/>
    <mergeCell ref="J4:K4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130F4-B3DD-4A97-972B-BC9FA11DC4D4}">
  <dimension ref="A1"/>
  <sheetViews>
    <sheetView showGridLines="0" zoomScale="70" zoomScaleNormal="70" workbookViewId="0">
      <selection activeCell="P38" sqref="P38"/>
    </sheetView>
  </sheetViews>
  <sheetFormatPr baseColWidth="10" defaultColWidth="8.83203125" defaultRowHeight="16" x14ac:dyDescent="0.2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DBFDD-6960-403A-8587-C0E05699944C}">
  <dimension ref="A2:F81"/>
  <sheetViews>
    <sheetView showGridLines="0" zoomScale="85" zoomScaleNormal="85" workbookViewId="0">
      <pane xSplit="1" ySplit="2" topLeftCell="B42" activePane="bottomRight" state="frozen"/>
      <selection pane="topRight" activeCell="B1" sqref="B1"/>
      <selection pane="bottomLeft" activeCell="A3" sqref="A3"/>
      <selection pane="bottomRight" activeCell="D79" sqref="D79"/>
    </sheetView>
  </sheetViews>
  <sheetFormatPr baseColWidth="10" defaultColWidth="9" defaultRowHeight="13" x14ac:dyDescent="0.15"/>
  <cols>
    <col min="1" max="1" width="36.1640625" style="37" bestFit="1" customWidth="1"/>
    <col min="2" max="2" width="9" style="37"/>
    <col min="3" max="3" width="10.6640625" style="37" bestFit="1" customWidth="1"/>
    <col min="4" max="4" width="12.83203125" style="37" bestFit="1" customWidth="1"/>
    <col min="5" max="6" width="14" style="37" bestFit="1" customWidth="1"/>
    <col min="7" max="16384" width="9" style="37"/>
  </cols>
  <sheetData>
    <row r="2" spans="1:6" x14ac:dyDescent="0.15">
      <c r="A2" s="47"/>
      <c r="B2" s="47"/>
      <c r="C2" s="116">
        <v>43922</v>
      </c>
      <c r="D2" s="116">
        <v>44287</v>
      </c>
      <c r="E2" s="116">
        <v>44652</v>
      </c>
      <c r="F2" s="116">
        <v>45017</v>
      </c>
    </row>
    <row r="3" spans="1:6" x14ac:dyDescent="0.15">
      <c r="A3" s="48"/>
      <c r="B3" s="49"/>
      <c r="C3" s="50"/>
      <c r="D3" s="50"/>
      <c r="E3" s="50"/>
      <c r="F3" s="48"/>
    </row>
    <row r="4" spans="1:6" x14ac:dyDescent="0.15">
      <c r="A4" s="47" t="s">
        <v>165</v>
      </c>
      <c r="B4" s="48"/>
      <c r="C4" s="49"/>
      <c r="D4" s="50"/>
      <c r="E4" s="50"/>
      <c r="F4" s="50"/>
    </row>
    <row r="5" spans="1:6" x14ac:dyDescent="0.15">
      <c r="A5" s="48" t="s">
        <v>171</v>
      </c>
      <c r="B5" s="48"/>
      <c r="C5" s="49"/>
      <c r="D5" s="79">
        <f>SUM('Revenue &amp; COGS assumtions'!H14:S14)</f>
        <v>52084</v>
      </c>
      <c r="E5" s="79">
        <f>SUM('Revenue &amp; COGS assumtions'!T14:AE14)</f>
        <v>132754</v>
      </c>
      <c r="F5" s="79">
        <f>SUM('Revenue &amp; COGS assumtions'!AF14:AQ14)</f>
        <v>339424</v>
      </c>
    </row>
    <row r="6" spans="1:6" x14ac:dyDescent="0.15">
      <c r="A6" s="48" t="s">
        <v>173</v>
      </c>
      <c r="B6" s="51"/>
      <c r="C6" s="49"/>
      <c r="D6" s="79">
        <f>SUM('Revenue &amp; COGS assumtions'!H15:S15)</f>
        <v>1382883.8399999999</v>
      </c>
      <c r="E6" s="79">
        <f>SUM('Revenue &amp; COGS assumtions'!T15:AE15)</f>
        <v>4329676.7999999998</v>
      </c>
      <c r="F6" s="79">
        <f>SUM('Revenue &amp; COGS assumtions'!AF15:AQ15)</f>
        <v>12207075.840000002</v>
      </c>
    </row>
    <row r="7" spans="1:6" x14ac:dyDescent="0.15">
      <c r="A7" s="48" t="s">
        <v>252</v>
      </c>
      <c r="B7" s="51"/>
      <c r="C7" s="49"/>
      <c r="D7" s="79">
        <f>SUM('Revenue &amp; COGS assumtions'!H16:S16)</f>
        <v>20000</v>
      </c>
      <c r="E7" s="79">
        <f>SUM('Revenue &amp; COGS assumtions'!T16:AE16)</f>
        <v>24000</v>
      </c>
      <c r="F7" s="79">
        <f>SUM('Revenue &amp; COGS assumtions'!AF16:AQ16)</f>
        <v>24000</v>
      </c>
    </row>
    <row r="8" spans="1:6" x14ac:dyDescent="0.15">
      <c r="A8" s="52" t="s">
        <v>172</v>
      </c>
      <c r="B8" s="52"/>
      <c r="C8" s="53"/>
      <c r="D8" s="80">
        <f>SUM(D5:D7)</f>
        <v>1454967.8399999999</v>
      </c>
      <c r="E8" s="80">
        <f>SUM(E5:E7)</f>
        <v>4486430.8</v>
      </c>
      <c r="F8" s="80">
        <f>SUM(F5:F7)</f>
        <v>12570499.840000002</v>
      </c>
    </row>
    <row r="9" spans="1:6" x14ac:dyDescent="0.15">
      <c r="A9" s="55"/>
      <c r="B9" s="55"/>
      <c r="C9" s="56"/>
      <c r="D9" s="81"/>
      <c r="E9" s="81"/>
      <c r="F9" s="81"/>
    </row>
    <row r="10" spans="1:6" x14ac:dyDescent="0.15">
      <c r="A10" s="58" t="s">
        <v>175</v>
      </c>
      <c r="B10" s="51"/>
      <c r="C10" s="49"/>
      <c r="D10" s="82">
        <f>SUM('Revenue &amp; COGS assumtions'!H24:S24)</f>
        <v>18676.28</v>
      </c>
      <c r="E10" s="82">
        <f>SUM('Revenue &amp; COGS assumtions'!T24:AE24)</f>
        <v>52014.179999999993</v>
      </c>
      <c r="F10" s="82">
        <f>SUM('Revenue &amp; COGS assumtions'!AF24:AQ24)</f>
        <v>139795.07999999999</v>
      </c>
    </row>
    <row r="11" spans="1:6" x14ac:dyDescent="0.15">
      <c r="A11" s="48" t="s">
        <v>174</v>
      </c>
      <c r="B11" s="51"/>
      <c r="C11" s="49"/>
      <c r="D11" s="82">
        <f>SUM('Revenue &amp; COGS assumtions'!H26:S26)</f>
        <v>667881.67680000002</v>
      </c>
      <c r="E11" s="82">
        <f>SUM('Revenue &amp; COGS assumtions'!T26:AE26)</f>
        <v>2091073.5360000001</v>
      </c>
      <c r="F11" s="82">
        <f>SUM('Revenue &amp; COGS assumtions'!AF26:AQ26)</f>
        <v>5895565.5167999994</v>
      </c>
    </row>
    <row r="12" spans="1:6" x14ac:dyDescent="0.15">
      <c r="A12" s="48" t="s">
        <v>252</v>
      </c>
      <c r="B12" s="51"/>
      <c r="C12" s="49"/>
      <c r="D12" s="82">
        <f>SUM('Revenue &amp; COGS assumtions'!H29:S29)</f>
        <v>400.00000000000006</v>
      </c>
      <c r="E12" s="82">
        <f>SUM('Revenue &amp; COGS assumtions'!T29:AE29)</f>
        <v>480.00000000000006</v>
      </c>
      <c r="F12" s="82">
        <f>SUM('Revenue &amp; COGS assumtions'!AF29:AQ29)</f>
        <v>480.00000000000006</v>
      </c>
    </row>
    <row r="13" spans="1:6" x14ac:dyDescent="0.15">
      <c r="A13" s="52" t="s">
        <v>176</v>
      </c>
      <c r="B13" s="52"/>
      <c r="C13" s="53"/>
      <c r="D13" s="80">
        <f>SUM(D10:D12)</f>
        <v>686957.95680000004</v>
      </c>
      <c r="E13" s="80">
        <f>SUM(E10:E12)</f>
        <v>2143567.716</v>
      </c>
      <c r="F13" s="80">
        <f>SUM(F10:F12)</f>
        <v>6035840.5967999995</v>
      </c>
    </row>
    <row r="14" spans="1:6" x14ac:dyDescent="0.15">
      <c r="A14" s="55"/>
      <c r="B14" s="55"/>
      <c r="C14" s="56"/>
      <c r="D14" s="81"/>
      <c r="E14" s="81"/>
      <c r="F14" s="81"/>
    </row>
    <row r="15" spans="1:6" x14ac:dyDescent="0.15">
      <c r="A15" s="59" t="s">
        <v>166</v>
      </c>
      <c r="B15" s="59"/>
      <c r="C15" s="60"/>
      <c r="D15" s="83">
        <f>D8-D13</f>
        <v>768009.88319999981</v>
      </c>
      <c r="E15" s="83">
        <f>E8-E13</f>
        <v>2342863.0839999998</v>
      </c>
      <c r="F15" s="83">
        <f>F8-F13</f>
        <v>6534659.2432000022</v>
      </c>
    </row>
    <row r="16" spans="1:6" x14ac:dyDescent="0.15">
      <c r="A16" s="62" t="s">
        <v>215</v>
      </c>
      <c r="B16" s="62"/>
      <c r="C16" s="63"/>
      <c r="D16" s="84">
        <f>D15/D8</f>
        <v>0.52785351131884806</v>
      </c>
      <c r="E16" s="84">
        <f>E15/E8</f>
        <v>0.52221090404425718</v>
      </c>
      <c r="F16" s="84">
        <f>F15/F8</f>
        <v>0.51984084375120609</v>
      </c>
    </row>
    <row r="17" spans="1:6" x14ac:dyDescent="0.15">
      <c r="A17" s="55"/>
      <c r="B17" s="55"/>
      <c r="C17" s="56"/>
      <c r="D17" s="81"/>
      <c r="E17" s="81"/>
      <c r="F17" s="81"/>
    </row>
    <row r="18" spans="1:6" x14ac:dyDescent="0.15">
      <c r="A18" s="55" t="s">
        <v>167</v>
      </c>
      <c r="B18" s="55"/>
      <c r="C18" s="56"/>
      <c r="D18" s="81"/>
      <c r="E18" s="81"/>
      <c r="F18" s="81"/>
    </row>
    <row r="19" spans="1:6" x14ac:dyDescent="0.15">
      <c r="A19" s="48" t="s">
        <v>168</v>
      </c>
      <c r="B19" s="48"/>
      <c r="C19" s="64"/>
      <c r="D19" s="79">
        <f>'Other assumptions'!E52</f>
        <v>48000</v>
      </c>
      <c r="E19" s="79">
        <f>'Other assumptions'!F52</f>
        <v>74752</v>
      </c>
      <c r="F19" s="79">
        <f>'Other assumptions'!G52</f>
        <v>84934.656000000003</v>
      </c>
    </row>
    <row r="20" spans="1:6" x14ac:dyDescent="0.15">
      <c r="A20" s="48" t="s">
        <v>177</v>
      </c>
      <c r="B20" s="48"/>
      <c r="C20" s="64"/>
      <c r="D20" s="79">
        <f>SUM('Other assumptions'!E55:E57)</f>
        <v>54360</v>
      </c>
      <c r="E20" s="79">
        <f>SUM('Other assumptions'!F55:F57)</f>
        <v>55664.639999999999</v>
      </c>
      <c r="F20" s="79">
        <f>SUM('Other assumptions'!G55:G57)</f>
        <v>57000.591359999991</v>
      </c>
    </row>
    <row r="21" spans="1:6" x14ac:dyDescent="0.15">
      <c r="A21" s="48" t="s">
        <v>150</v>
      </c>
      <c r="B21" s="48"/>
      <c r="C21" s="64"/>
      <c r="D21" s="79">
        <f>SUM('Other assumptions'!E60:E62)</f>
        <v>685200</v>
      </c>
      <c r="E21" s="79">
        <f>SUM('Other assumptions'!F60:F62)</f>
        <v>701644.80000000005</v>
      </c>
      <c r="F21" s="79">
        <f>SUM('Other assumptions'!G60:G62)</f>
        <v>718484.27520000003</v>
      </c>
    </row>
    <row r="22" spans="1:6" x14ac:dyDescent="0.15">
      <c r="A22" s="48" t="s">
        <v>256</v>
      </c>
      <c r="B22" s="48"/>
      <c r="C22" s="64"/>
      <c r="D22" s="79">
        <f>'Other assumptions'!E75</f>
        <v>18151.164000000001</v>
      </c>
      <c r="E22" s="79">
        <f>'Other assumptions'!F75</f>
        <v>38520.931200000006</v>
      </c>
      <c r="F22" s="79">
        <f>'Other assumptions'!G75</f>
        <v>54816.744960000011</v>
      </c>
    </row>
    <row r="23" spans="1:6" x14ac:dyDescent="0.15">
      <c r="A23" s="52" t="s">
        <v>169</v>
      </c>
      <c r="B23" s="65"/>
      <c r="C23" s="66"/>
      <c r="D23" s="80">
        <f>SUM(D19:D22)</f>
        <v>805711.16399999999</v>
      </c>
      <c r="E23" s="80">
        <f>SUM(E19:E22)</f>
        <v>870582.37120000005</v>
      </c>
      <c r="F23" s="80">
        <f>SUM(F19:F22)</f>
        <v>915236.26751999999</v>
      </c>
    </row>
    <row r="24" spans="1:6" x14ac:dyDescent="0.15">
      <c r="A24" s="55"/>
      <c r="B24" s="67"/>
      <c r="C24" s="68"/>
      <c r="D24" s="81"/>
      <c r="E24" s="81"/>
      <c r="F24" s="81"/>
    </row>
    <row r="25" spans="1:6" x14ac:dyDescent="0.15">
      <c r="A25" s="59" t="s">
        <v>178</v>
      </c>
      <c r="B25" s="59"/>
      <c r="C25" s="60"/>
      <c r="D25" s="83">
        <f>D15-D23</f>
        <v>-37701.280800000182</v>
      </c>
      <c r="E25" s="83">
        <f>E15-E23</f>
        <v>1472280.7127999999</v>
      </c>
      <c r="F25" s="83">
        <f>F15-F23</f>
        <v>5619422.975680002</v>
      </c>
    </row>
    <row r="26" spans="1:6" x14ac:dyDescent="0.15">
      <c r="A26" s="62" t="s">
        <v>233</v>
      </c>
      <c r="B26" s="62"/>
      <c r="C26" s="63"/>
      <c r="D26" s="84">
        <f>D25/D8</f>
        <v>-2.5912105933558083E-2</v>
      </c>
      <c r="E26" s="84">
        <f>E25/E8</f>
        <v>0.32816302723314039</v>
      </c>
      <c r="F26" s="84">
        <f>F25/F8</f>
        <v>0.44703258002507568</v>
      </c>
    </row>
    <row r="27" spans="1:6" x14ac:dyDescent="0.15">
      <c r="A27" s="55"/>
      <c r="B27" s="67"/>
      <c r="C27" s="68"/>
      <c r="D27" s="81"/>
      <c r="E27" s="81"/>
      <c r="F27" s="81"/>
    </row>
    <row r="28" spans="1:6" x14ac:dyDescent="0.15">
      <c r="A28" s="67" t="s">
        <v>179</v>
      </c>
      <c r="B28" s="67"/>
      <c r="C28" s="68"/>
      <c r="D28" s="81">
        <f>'Other assumptions'!E75</f>
        <v>18151.164000000001</v>
      </c>
      <c r="E28" s="81">
        <f>'Other assumptions'!F75</f>
        <v>38520.931200000006</v>
      </c>
      <c r="F28" s="81">
        <f>'Other assumptions'!G75</f>
        <v>54816.744960000011</v>
      </c>
    </row>
    <row r="29" spans="1:6" x14ac:dyDescent="0.15">
      <c r="A29" s="52" t="s">
        <v>180</v>
      </c>
      <c r="B29" s="52"/>
      <c r="C29" s="53"/>
      <c r="D29" s="80">
        <f>D25+D28</f>
        <v>-19550.116800000182</v>
      </c>
      <c r="E29" s="80">
        <f>E25+E28</f>
        <v>1510801.6439999999</v>
      </c>
      <c r="F29" s="80">
        <f>F25+F28</f>
        <v>5674239.7206400018</v>
      </c>
    </row>
    <row r="30" spans="1:6" x14ac:dyDescent="0.15">
      <c r="A30" s="55"/>
      <c r="B30" s="55"/>
      <c r="C30" s="56"/>
      <c r="D30" s="81"/>
      <c r="E30" s="81"/>
      <c r="F30" s="81"/>
    </row>
    <row r="31" spans="1:6" x14ac:dyDescent="0.15">
      <c r="A31" s="67" t="s">
        <v>253</v>
      </c>
      <c r="B31" s="67"/>
      <c r="C31" s="68"/>
      <c r="D31" s="79">
        <f>D25*0.1</f>
        <v>-3770.1280800000186</v>
      </c>
      <c r="E31" s="79">
        <f>E25*0.1</f>
        <v>147228.07128</v>
      </c>
      <c r="F31" s="79">
        <f>F25*0.1</f>
        <v>561942.29756800027</v>
      </c>
    </row>
    <row r="32" spans="1:6" ht="14" thickBot="1" x14ac:dyDescent="0.2">
      <c r="A32" s="69" t="s">
        <v>170</v>
      </c>
      <c r="B32" s="69"/>
      <c r="C32" s="70"/>
      <c r="D32" s="85">
        <f>D25-D31</f>
        <v>-33931.152720000166</v>
      </c>
      <c r="E32" s="85">
        <f>E25-E31</f>
        <v>1325052.6415199998</v>
      </c>
      <c r="F32" s="85">
        <f>F25-F31</f>
        <v>5057480.6781120021</v>
      </c>
    </row>
    <row r="33" spans="1:6" ht="14" thickTop="1" x14ac:dyDescent="0.15">
      <c r="A33" s="62" t="s">
        <v>216</v>
      </c>
      <c r="B33" s="62"/>
      <c r="C33" s="63"/>
      <c r="D33" s="84">
        <f>D32/D8</f>
        <v>-2.3320895340202274E-2</v>
      </c>
      <c r="E33" s="84">
        <f>E32/E8</f>
        <v>0.29534672450982635</v>
      </c>
      <c r="F33" s="84">
        <f>F32/F8</f>
        <v>0.40232932202256816</v>
      </c>
    </row>
    <row r="34" spans="1:6" x14ac:dyDescent="0.15">
      <c r="A34" s="62"/>
      <c r="B34" s="62"/>
      <c r="C34" s="63"/>
      <c r="D34" s="84"/>
      <c r="E34" s="84"/>
      <c r="F34" s="84"/>
    </row>
    <row r="35" spans="1:6" x14ac:dyDescent="0.15">
      <c r="A35" s="62" t="s">
        <v>197</v>
      </c>
      <c r="B35" s="62"/>
      <c r="C35" s="63"/>
      <c r="D35" s="84">
        <v>0</v>
      </c>
      <c r="E35" s="84">
        <f>40%</f>
        <v>0.4</v>
      </c>
      <c r="F35" s="84">
        <f>40%</f>
        <v>0.4</v>
      </c>
    </row>
    <row r="36" spans="1:6" x14ac:dyDescent="0.15">
      <c r="A36" s="72" t="s">
        <v>198</v>
      </c>
      <c r="D36" s="86">
        <f>D32*D35</f>
        <v>0</v>
      </c>
      <c r="E36" s="86">
        <f>E32*E35</f>
        <v>530021.05660799996</v>
      </c>
      <c r="F36" s="86">
        <f>F32*F35</f>
        <v>2022992.2712448009</v>
      </c>
    </row>
    <row r="37" spans="1:6" x14ac:dyDescent="0.15">
      <c r="D37" s="73"/>
      <c r="E37" s="73"/>
      <c r="F37" s="73"/>
    </row>
    <row r="38" spans="1:6" x14ac:dyDescent="0.15">
      <c r="A38" s="47" t="s">
        <v>181</v>
      </c>
      <c r="B38" s="48"/>
      <c r="C38" s="49"/>
      <c r="D38" s="50"/>
      <c r="E38" s="50"/>
      <c r="F38" s="50"/>
    </row>
    <row r="39" spans="1:6" x14ac:dyDescent="0.15">
      <c r="A39" s="51" t="s">
        <v>182</v>
      </c>
      <c r="B39" s="48"/>
      <c r="C39" s="64"/>
      <c r="D39" s="50"/>
      <c r="E39" s="50"/>
      <c r="F39" s="50"/>
    </row>
    <row r="40" spans="1:6" x14ac:dyDescent="0.15">
      <c r="A40" s="48" t="s">
        <v>183</v>
      </c>
      <c r="B40" s="48"/>
      <c r="C40" s="74">
        <f>C79</f>
        <v>259052.71000000008</v>
      </c>
      <c r="D40" s="87">
        <f>D79</f>
        <v>106523.65819762537</v>
      </c>
      <c r="E40" s="87">
        <f>E79</f>
        <v>682543.90876277606</v>
      </c>
      <c r="F40" s="87">
        <f>F79</f>
        <v>3285694.1311961878</v>
      </c>
    </row>
    <row r="41" spans="1:6" x14ac:dyDescent="0.15">
      <c r="A41" s="48" t="s">
        <v>184</v>
      </c>
      <c r="B41" s="48"/>
      <c r="D41" s="79">
        <f>D8/365*'Other assumptions'!E67</f>
        <v>119586.39780821916</v>
      </c>
      <c r="E41" s="79">
        <f>E8/365*'Other assumptions'!F67</f>
        <v>368747.73698630137</v>
      </c>
      <c r="F41" s="79">
        <f>F8/365*'Other assumptions'!G67</f>
        <v>1033191.767671233</v>
      </c>
    </row>
    <row r="42" spans="1:6" x14ac:dyDescent="0.15">
      <c r="A42" s="48" t="s">
        <v>185</v>
      </c>
      <c r="B42" s="48"/>
      <c r="D42" s="79">
        <f>D13/360*'Other assumptions'!E69</f>
        <v>3816.4330933333335</v>
      </c>
      <c r="E42" s="79">
        <f>E13/360*'Other assumptions'!F69</f>
        <v>11908.709533333333</v>
      </c>
      <c r="F42" s="79">
        <f>F13/360*'Other assumptions'!G69</f>
        <v>33532.447759999995</v>
      </c>
    </row>
    <row r="43" spans="1:6" x14ac:dyDescent="0.15">
      <c r="A43" s="48" t="s">
        <v>195</v>
      </c>
      <c r="B43" s="48"/>
      <c r="C43" s="64">
        <f>'Other assumptions'!E73</f>
        <v>90755.82</v>
      </c>
      <c r="D43" s="79">
        <f>'Other assumptions'!E76</f>
        <v>192604.65600000002</v>
      </c>
      <c r="E43" s="79">
        <f>'Other assumptions'!F76</f>
        <v>274083.72480000003</v>
      </c>
      <c r="F43" s="79">
        <f>'Other assumptions'!G76</f>
        <v>339266.97984000004</v>
      </c>
    </row>
    <row r="44" spans="1:6" x14ac:dyDescent="0.15">
      <c r="A44" s="48" t="s">
        <v>196</v>
      </c>
      <c r="C44" s="43">
        <v>50191.469999999899</v>
      </c>
      <c r="D44" s="88"/>
      <c r="E44" s="88"/>
      <c r="F44" s="88"/>
    </row>
    <row r="45" spans="1:6" ht="14" thickBot="1" x14ac:dyDescent="0.2">
      <c r="A45" s="69" t="s">
        <v>186</v>
      </c>
      <c r="B45" s="69"/>
      <c r="C45" s="71">
        <f>SUM(C40:C44)</f>
        <v>400000</v>
      </c>
      <c r="D45" s="85">
        <f>SUM(D40:D43)</f>
        <v>422531.14509917784</v>
      </c>
      <c r="E45" s="85">
        <f>SUM(E40:E43)</f>
        <v>1337284.0800824107</v>
      </c>
      <c r="F45" s="85">
        <f>SUM(F40:F43)</f>
        <v>4691685.3264674209</v>
      </c>
    </row>
    <row r="46" spans="1:6" ht="14" thickTop="1" x14ac:dyDescent="0.15">
      <c r="A46" s="55"/>
      <c r="B46" s="55"/>
      <c r="C46" s="56"/>
      <c r="D46" s="81"/>
      <c r="E46" s="81"/>
      <c r="F46" s="81"/>
    </row>
    <row r="47" spans="1:6" x14ac:dyDescent="0.15">
      <c r="A47" s="51" t="s">
        <v>187</v>
      </c>
      <c r="B47" s="48"/>
      <c r="D47" s="79"/>
      <c r="E47" s="79"/>
      <c r="F47" s="79"/>
    </row>
    <row r="48" spans="1:6" x14ac:dyDescent="0.15">
      <c r="A48" s="48" t="s">
        <v>188</v>
      </c>
      <c r="B48" s="48"/>
      <c r="D48" s="79">
        <f>D13/365*'Other assumptions'!E68</f>
        <v>56462.297819178086</v>
      </c>
      <c r="E48" s="79">
        <f>E13/365*'Other assumptions'!F68</f>
        <v>176183.64789041094</v>
      </c>
      <c r="F48" s="79">
        <f>F13/365*'Other assumptions'!G68</f>
        <v>496096.48740821914</v>
      </c>
    </row>
    <row r="49" spans="1:6" x14ac:dyDescent="0.15">
      <c r="A49" s="52" t="s">
        <v>189</v>
      </c>
      <c r="B49" s="52"/>
      <c r="C49" s="54">
        <f>SUM(C48:C48)</f>
        <v>0</v>
      </c>
      <c r="D49" s="80">
        <f>SUM(D48:D48)</f>
        <v>56462.297819178086</v>
      </c>
      <c r="E49" s="80">
        <f>SUM(E48:E48)</f>
        <v>176183.64789041094</v>
      </c>
      <c r="F49" s="80">
        <f>SUM(F48:F48)</f>
        <v>496096.48740821914</v>
      </c>
    </row>
    <row r="50" spans="1:6" x14ac:dyDescent="0.15">
      <c r="A50" s="55"/>
      <c r="B50" s="55"/>
      <c r="C50" s="57"/>
      <c r="D50" s="81"/>
      <c r="E50" s="81"/>
      <c r="F50" s="81"/>
    </row>
    <row r="51" spans="1:6" x14ac:dyDescent="0.15">
      <c r="A51" s="51" t="s">
        <v>190</v>
      </c>
      <c r="B51" s="48"/>
      <c r="C51" s="64"/>
      <c r="D51" s="79"/>
      <c r="E51" s="79"/>
      <c r="F51" s="79"/>
    </row>
    <row r="52" spans="1:6" x14ac:dyDescent="0.15">
      <c r="A52" s="48" t="s">
        <v>191</v>
      </c>
      <c r="B52" s="48"/>
      <c r="C52" s="64">
        <v>400000</v>
      </c>
      <c r="D52" s="79">
        <f>C52</f>
        <v>400000</v>
      </c>
      <c r="E52" s="79">
        <f>D52</f>
        <v>400000</v>
      </c>
      <c r="F52" s="79">
        <f>E52</f>
        <v>400000</v>
      </c>
    </row>
    <row r="53" spans="1:6" x14ac:dyDescent="0.15">
      <c r="A53" s="48" t="s">
        <v>192</v>
      </c>
      <c r="B53" s="48"/>
      <c r="C53" s="64"/>
      <c r="D53" s="79">
        <f>C53+D32-D36</f>
        <v>-33931.152720000166</v>
      </c>
      <c r="E53" s="79">
        <f>D53+E32-E36</f>
        <v>761100.43219199975</v>
      </c>
      <c r="F53" s="79">
        <f>E53+F32-F36</f>
        <v>3795588.8390592011</v>
      </c>
    </row>
    <row r="54" spans="1:6" x14ac:dyDescent="0.15">
      <c r="A54" s="59" t="s">
        <v>190</v>
      </c>
      <c r="B54" s="59"/>
      <c r="C54" s="61">
        <f>SUM(C52:C53)</f>
        <v>400000</v>
      </c>
      <c r="D54" s="83">
        <f>SUM(D52:D53)</f>
        <v>366068.84727999981</v>
      </c>
      <c r="E54" s="83">
        <f t="shared" ref="E54:F54" si="0">SUM(E52:E53)</f>
        <v>1161100.4321919996</v>
      </c>
      <c r="F54" s="83">
        <f t="shared" si="0"/>
        <v>4195588.8390592011</v>
      </c>
    </row>
    <row r="55" spans="1:6" x14ac:dyDescent="0.15">
      <c r="A55" s="52"/>
      <c r="B55" s="52"/>
      <c r="C55" s="54"/>
      <c r="D55" s="80"/>
      <c r="E55" s="80"/>
      <c r="F55" s="80"/>
    </row>
    <row r="56" spans="1:6" ht="14" thickBot="1" x14ac:dyDescent="0.2">
      <c r="A56" s="69" t="s">
        <v>193</v>
      </c>
      <c r="B56" s="69"/>
      <c r="C56" s="71">
        <f>C49+C54</f>
        <v>400000</v>
      </c>
      <c r="D56" s="85">
        <f>D49+D54</f>
        <v>422531.1450991779</v>
      </c>
      <c r="E56" s="85">
        <f t="shared" ref="E56:F56" si="1">E49+E54</f>
        <v>1337284.0800824105</v>
      </c>
      <c r="F56" s="85">
        <f t="shared" si="1"/>
        <v>4691685.32646742</v>
      </c>
    </row>
    <row r="57" spans="1:6" ht="14" thickTop="1" x14ac:dyDescent="0.15">
      <c r="A57" s="48"/>
      <c r="B57" s="48"/>
      <c r="C57" s="64"/>
      <c r="D57" s="79"/>
      <c r="E57" s="79"/>
      <c r="F57" s="79"/>
    </row>
    <row r="58" spans="1:6" x14ac:dyDescent="0.15">
      <c r="A58" s="75" t="s">
        <v>194</v>
      </c>
      <c r="B58" s="76"/>
      <c r="C58" s="77" t="s">
        <v>217</v>
      </c>
      <c r="D58" s="89">
        <f>D56-D45</f>
        <v>0</v>
      </c>
      <c r="E58" s="89">
        <f>E56-E45</f>
        <v>0</v>
      </c>
      <c r="F58" s="89">
        <f>F56-F45</f>
        <v>0</v>
      </c>
    </row>
    <row r="59" spans="1:6" x14ac:dyDescent="0.15">
      <c r="D59" s="73"/>
      <c r="E59" s="73"/>
      <c r="F59" s="73"/>
    </row>
    <row r="60" spans="1:6" x14ac:dyDescent="0.15">
      <c r="A60" s="47" t="s">
        <v>199</v>
      </c>
      <c r="B60" s="48"/>
      <c r="C60" s="49"/>
      <c r="D60" s="50"/>
      <c r="E60" s="50"/>
      <c r="F60" s="50"/>
    </row>
    <row r="61" spans="1:6" x14ac:dyDescent="0.15">
      <c r="A61" s="51" t="s">
        <v>200</v>
      </c>
      <c r="B61" s="48"/>
      <c r="C61" s="64"/>
      <c r="D61" s="50"/>
      <c r="E61" s="50"/>
      <c r="F61" s="50"/>
    </row>
    <row r="62" spans="1:6" x14ac:dyDescent="0.15">
      <c r="A62" s="48" t="s">
        <v>170</v>
      </c>
      <c r="B62" s="48"/>
      <c r="C62" s="64"/>
      <c r="D62" s="79">
        <f>D32</f>
        <v>-33931.152720000166</v>
      </c>
      <c r="E62" s="79">
        <f>E32</f>
        <v>1325052.6415199998</v>
      </c>
      <c r="F62" s="79">
        <f>F32</f>
        <v>5057480.6781120021</v>
      </c>
    </row>
    <row r="63" spans="1:6" x14ac:dyDescent="0.15">
      <c r="A63" s="48" t="s">
        <v>201</v>
      </c>
      <c r="B63" s="48"/>
      <c r="C63" s="64"/>
      <c r="D63" s="79">
        <f>D28</f>
        <v>18151.164000000001</v>
      </c>
      <c r="E63" s="79">
        <f>E28</f>
        <v>38520.931200000006</v>
      </c>
      <c r="F63" s="79">
        <f>F28</f>
        <v>54816.744960000011</v>
      </c>
    </row>
    <row r="64" spans="1:6" x14ac:dyDescent="0.15">
      <c r="A64" s="48" t="s">
        <v>202</v>
      </c>
      <c r="B64" s="48"/>
      <c r="C64" s="64"/>
      <c r="D64" s="79">
        <f>(SUM(D41:D42,D44)-SUM(C41:C42,C44))-(D48-C48)</f>
        <v>16749.063082374516</v>
      </c>
      <c r="E64" s="79">
        <f>(SUM(E41:E42)-SUM(D41:D42))-(E48-D48)</f>
        <v>137532.26554684932</v>
      </c>
      <c r="F64" s="79">
        <f>(SUM(F41:F42)-SUM(E41:E42))-(F48-E48)</f>
        <v>366154.92939379008</v>
      </c>
    </row>
    <row r="65" spans="1:6" x14ac:dyDescent="0.15">
      <c r="A65" s="52" t="s">
        <v>203</v>
      </c>
      <c r="B65" s="65"/>
      <c r="C65" s="66"/>
      <c r="D65" s="80">
        <f>D62+D63-D64</f>
        <v>-32529.051802374681</v>
      </c>
      <c r="E65" s="80">
        <f>E62+E63-E64</f>
        <v>1226041.3071731506</v>
      </c>
      <c r="F65" s="80">
        <f>F62+F63-F64</f>
        <v>4746142.4936782122</v>
      </c>
    </row>
    <row r="66" spans="1:6" x14ac:dyDescent="0.15">
      <c r="A66" s="55"/>
      <c r="B66" s="67"/>
      <c r="C66" s="68"/>
      <c r="D66" s="81"/>
      <c r="E66" s="81"/>
      <c r="F66" s="81"/>
    </row>
    <row r="67" spans="1:6" x14ac:dyDescent="0.15">
      <c r="A67" s="51" t="s">
        <v>204</v>
      </c>
      <c r="B67" s="48"/>
      <c r="C67" s="64"/>
      <c r="D67" s="82"/>
      <c r="E67" s="82"/>
      <c r="F67" s="82"/>
    </row>
    <row r="68" spans="1:6" x14ac:dyDescent="0.15">
      <c r="A68" s="48" t="s">
        <v>212</v>
      </c>
      <c r="B68" s="48"/>
      <c r="C68" s="64">
        <f>C43</f>
        <v>90755.82</v>
      </c>
      <c r="D68" s="82">
        <f>D43-C43+D28</f>
        <v>120000.00000000001</v>
      </c>
      <c r="E68" s="82">
        <f>E43-D43+E28</f>
        <v>120000.00000000001</v>
      </c>
      <c r="F68" s="82">
        <f>F43-E43+F28</f>
        <v>120000.00000000003</v>
      </c>
    </row>
    <row r="69" spans="1:6" x14ac:dyDescent="0.15">
      <c r="A69" s="48" t="s">
        <v>211</v>
      </c>
      <c r="B69" s="48"/>
      <c r="C69" s="64">
        <f>C44</f>
        <v>50191.469999999899</v>
      </c>
      <c r="D69" s="82"/>
      <c r="E69" s="82"/>
      <c r="F69" s="82"/>
    </row>
    <row r="70" spans="1:6" x14ac:dyDescent="0.15">
      <c r="A70" s="52" t="s">
        <v>205</v>
      </c>
      <c r="B70" s="65"/>
      <c r="C70" s="53">
        <f>SUM(C68:C69)</f>
        <v>140947.28999999992</v>
      </c>
      <c r="D70" s="80">
        <f>SUM(D68:D69)</f>
        <v>120000.00000000001</v>
      </c>
      <c r="E70" s="80">
        <f>SUM(E68:E69)</f>
        <v>120000.00000000001</v>
      </c>
      <c r="F70" s="80">
        <f>SUM(F68:F69)</f>
        <v>120000.00000000003</v>
      </c>
    </row>
    <row r="71" spans="1:6" x14ac:dyDescent="0.15">
      <c r="A71" s="55"/>
      <c r="B71" s="67"/>
      <c r="C71" s="68"/>
      <c r="D71" s="81"/>
      <c r="E71" s="81"/>
      <c r="F71" s="81"/>
    </row>
    <row r="72" spans="1:6" x14ac:dyDescent="0.15">
      <c r="A72" s="51" t="s">
        <v>206</v>
      </c>
      <c r="B72" s="48"/>
      <c r="C72" s="64"/>
      <c r="D72" s="82"/>
      <c r="E72" s="82"/>
      <c r="F72" s="82"/>
    </row>
    <row r="73" spans="1:6" x14ac:dyDescent="0.15">
      <c r="A73" s="51" t="s">
        <v>214</v>
      </c>
      <c r="B73" s="48"/>
      <c r="C73" s="64"/>
      <c r="D73" s="82">
        <f>D36</f>
        <v>0</v>
      </c>
      <c r="E73" s="82">
        <f>E36</f>
        <v>530021.05660799996</v>
      </c>
      <c r="F73" s="82">
        <f>F36</f>
        <v>2022992.2712448009</v>
      </c>
    </row>
    <row r="74" spans="1:6" x14ac:dyDescent="0.15">
      <c r="A74" s="48" t="s">
        <v>213</v>
      </c>
      <c r="B74" s="48"/>
      <c r="C74" s="64">
        <f>C52</f>
        <v>400000</v>
      </c>
      <c r="D74" s="82">
        <f>D54-C54-D32+D36</f>
        <v>-2.1827872842550278E-11</v>
      </c>
      <c r="E74" s="82">
        <f>E54-D54-E32+E36</f>
        <v>0</v>
      </c>
      <c r="F74" s="82">
        <f>F54-E54-F32+F36</f>
        <v>0</v>
      </c>
    </row>
    <row r="75" spans="1:6" x14ac:dyDescent="0.15">
      <c r="A75" s="52" t="s">
        <v>207</v>
      </c>
      <c r="B75" s="65"/>
      <c r="C75" s="54">
        <f>SUM(C74:C74)</f>
        <v>400000</v>
      </c>
      <c r="D75" s="80">
        <f>D74-D73</f>
        <v>-2.1827872842550278E-11</v>
      </c>
      <c r="E75" s="80">
        <f>E74-E73</f>
        <v>-530021.05660799996</v>
      </c>
      <c r="F75" s="80">
        <f>F74-F73</f>
        <v>-2022992.2712448009</v>
      </c>
    </row>
    <row r="76" spans="1:6" x14ac:dyDescent="0.15">
      <c r="A76" s="55"/>
      <c r="B76" s="67"/>
      <c r="C76" s="68"/>
      <c r="D76" s="81"/>
      <c r="E76" s="81"/>
      <c r="F76" s="81"/>
    </row>
    <row r="77" spans="1:6" x14ac:dyDescent="0.15">
      <c r="A77" s="48" t="s">
        <v>208</v>
      </c>
      <c r="B77" s="48"/>
      <c r="C77" s="64">
        <f>SUM(C65-C70+C75)</f>
        <v>259052.71000000008</v>
      </c>
      <c r="D77" s="82">
        <f t="shared" ref="D77:F77" si="2">SUM(D65-D70+D75)</f>
        <v>-152529.05180237471</v>
      </c>
      <c r="E77" s="90">
        <f t="shared" si="2"/>
        <v>576020.25056515064</v>
      </c>
      <c r="F77" s="90">
        <f t="shared" si="2"/>
        <v>2603150.2224334115</v>
      </c>
    </row>
    <row r="78" spans="1:6" x14ac:dyDescent="0.15">
      <c r="A78" s="48" t="s">
        <v>209</v>
      </c>
      <c r="B78" s="48"/>
      <c r="C78" s="64">
        <v>0</v>
      </c>
      <c r="D78" s="82">
        <f>C79</f>
        <v>259052.71000000008</v>
      </c>
      <c r="E78" s="82">
        <f>D79</f>
        <v>106523.65819762537</v>
      </c>
      <c r="F78" s="82">
        <f>E79</f>
        <v>682543.90876277606</v>
      </c>
    </row>
    <row r="79" spans="1:6" x14ac:dyDescent="0.15">
      <c r="A79" s="52" t="s">
        <v>210</v>
      </c>
      <c r="B79" s="52"/>
      <c r="C79" s="53">
        <f>C77+C78</f>
        <v>259052.71000000008</v>
      </c>
      <c r="D79" s="80">
        <f>SUM(D77:D78)</f>
        <v>106523.65819762537</v>
      </c>
      <c r="E79" s="80">
        <f t="shared" ref="E79:F79" si="3">SUM(E77:E78)</f>
        <v>682543.90876277606</v>
      </c>
      <c r="F79" s="80">
        <f t="shared" si="3"/>
        <v>3285694.1311961878</v>
      </c>
    </row>
    <row r="80" spans="1:6" x14ac:dyDescent="0.15">
      <c r="A80" s="51"/>
      <c r="B80" s="48"/>
      <c r="C80" s="64"/>
      <c r="D80" s="81"/>
      <c r="E80" s="79"/>
      <c r="F80" s="79"/>
    </row>
    <row r="81" spans="1:6" x14ac:dyDescent="0.15">
      <c r="A81" s="75" t="s">
        <v>194</v>
      </c>
      <c r="B81" s="76"/>
      <c r="C81" s="78"/>
      <c r="D81" s="91">
        <f>D79-D40</f>
        <v>0</v>
      </c>
      <c r="E81" s="91">
        <f>E79-E40</f>
        <v>0</v>
      </c>
      <c r="F81" s="91">
        <f>F79-F40</f>
        <v>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0B8B2-D78F-42D8-B7AB-B9068AA4BEB1}">
  <dimension ref="A1:E15"/>
  <sheetViews>
    <sheetView showGridLines="0"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F20" sqref="F20"/>
    </sheetView>
  </sheetViews>
  <sheetFormatPr baseColWidth="10" defaultColWidth="8.83203125" defaultRowHeight="16" x14ac:dyDescent="0.2"/>
  <cols>
    <col min="1" max="1" width="19.83203125" bestFit="1" customWidth="1"/>
  </cols>
  <sheetData>
    <row r="1" spans="1:5" x14ac:dyDescent="0.2">
      <c r="A1" s="47" t="s">
        <v>226</v>
      </c>
      <c r="B1" s="47"/>
      <c r="C1" s="116">
        <v>44287</v>
      </c>
      <c r="D1" s="116">
        <v>44652</v>
      </c>
      <c r="E1" s="116">
        <v>45017</v>
      </c>
    </row>
    <row r="2" spans="1:5" x14ac:dyDescent="0.2">
      <c r="B2" s="37"/>
      <c r="C2" s="37"/>
      <c r="D2" s="37"/>
      <c r="E2" s="37"/>
    </row>
    <row r="3" spans="1:5" x14ac:dyDescent="0.2">
      <c r="A3" s="47" t="s">
        <v>227</v>
      </c>
      <c r="B3" s="37"/>
      <c r="C3" s="37"/>
      <c r="D3" s="37"/>
      <c r="E3" s="37"/>
    </row>
    <row r="4" spans="1:5" x14ac:dyDescent="0.2">
      <c r="A4" s="37" t="s">
        <v>228</v>
      </c>
      <c r="B4" s="37"/>
      <c r="C4" s="104">
        <f>Financials!D16</f>
        <v>0.52785351131884806</v>
      </c>
      <c r="D4" s="104">
        <f>Financials!E16</f>
        <v>0.52221090404425718</v>
      </c>
      <c r="E4" s="104">
        <f>Financials!F16</f>
        <v>0.51984084375120609</v>
      </c>
    </row>
    <row r="5" spans="1:5" x14ac:dyDescent="0.2">
      <c r="A5" s="37" t="s">
        <v>233</v>
      </c>
      <c r="B5" s="37"/>
      <c r="C5" s="104">
        <f>Financials!D26</f>
        <v>-2.5912105933558083E-2</v>
      </c>
      <c r="D5" s="104">
        <f>Financials!E26</f>
        <v>0.32816302723314039</v>
      </c>
      <c r="E5" s="104">
        <f>Financials!F26</f>
        <v>0.44703258002507568</v>
      </c>
    </row>
    <row r="6" spans="1:5" x14ac:dyDescent="0.2">
      <c r="A6" s="37" t="s">
        <v>229</v>
      </c>
      <c r="B6" s="37"/>
      <c r="C6" s="104">
        <f>Financials!D33</f>
        <v>-2.3320895340202274E-2</v>
      </c>
      <c r="D6" s="104">
        <f>Financials!E33</f>
        <v>0.29534672450982635</v>
      </c>
      <c r="E6" s="104">
        <f>Financials!F33</f>
        <v>0.40232932202256816</v>
      </c>
    </row>
    <row r="7" spans="1:5" x14ac:dyDescent="0.2">
      <c r="A7" s="37" t="s">
        <v>230</v>
      </c>
      <c r="B7" s="37"/>
      <c r="C7" s="93">
        <f>Financials!D32/Financials!D45</f>
        <v>-8.0304500895515621E-2</v>
      </c>
      <c r="D7" s="93">
        <f>Financials!E32/Financials!E45</f>
        <v>0.99085352263996362</v>
      </c>
      <c r="E7" s="93">
        <f>Financials!F32/Financials!F45</f>
        <v>1.0779667275597113</v>
      </c>
    </row>
    <row r="8" spans="1:5" x14ac:dyDescent="0.2">
      <c r="A8" s="37" t="s">
        <v>231</v>
      </c>
      <c r="B8" s="37"/>
      <c r="C8" s="93">
        <f>Financials!D32/Financials!D54</f>
        <v>-9.2690631754432817E-2</v>
      </c>
      <c r="D8" s="93">
        <f>Financials!E32/Financials!E54</f>
        <v>1.1412041583848873</v>
      </c>
      <c r="E8" s="93">
        <f>Financials!F32/Financials!F54</f>
        <v>1.2054280989187842</v>
      </c>
    </row>
    <row r="9" spans="1:5" x14ac:dyDescent="0.2">
      <c r="A9" s="37" t="s">
        <v>232</v>
      </c>
      <c r="B9" s="37"/>
      <c r="C9" s="45">
        <f>Financials!D8/Financials!D45</f>
        <v>3.4434570253004315</v>
      </c>
      <c r="D9" s="45">
        <f>Financials!E8/Financials!E45</f>
        <v>3.354882382001827</v>
      </c>
      <c r="E9" s="45">
        <f>Financials!F8/Financials!F45</f>
        <v>2.6793143540734627</v>
      </c>
    </row>
    <row r="10" spans="1:5" x14ac:dyDescent="0.2">
      <c r="A10" s="37"/>
      <c r="B10" s="37"/>
      <c r="C10" s="37"/>
      <c r="D10" s="37"/>
      <c r="E10" s="37"/>
    </row>
    <row r="11" spans="1:5" x14ac:dyDescent="0.2">
      <c r="A11" s="47" t="s">
        <v>234</v>
      </c>
      <c r="B11" s="37"/>
      <c r="C11" s="37"/>
      <c r="D11" s="37"/>
      <c r="E11" s="37"/>
    </row>
    <row r="12" spans="1:5" x14ac:dyDescent="0.2">
      <c r="A12" s="37" t="s">
        <v>235</v>
      </c>
      <c r="B12" s="37"/>
      <c r="C12" s="45">
        <f>(SUM(Financials!D40:D42)/Financials!D48)</f>
        <v>4.0722127504538186</v>
      </c>
      <c r="D12" s="45">
        <f>(SUM(Financials!E40:E42)/Financials!E48)</f>
        <v>6.034614267629073</v>
      </c>
      <c r="E12" s="45">
        <f>(SUM(Financials!F40:F42)/Financials!F48)</f>
        <v>8.7733303038809449</v>
      </c>
    </row>
    <row r="13" spans="1:5" x14ac:dyDescent="0.2">
      <c r="A13" s="37" t="s">
        <v>236</v>
      </c>
      <c r="B13" s="37"/>
      <c r="C13" s="45">
        <f>(Financials!D40+Financials!D41)/Financials!D48</f>
        <v>4.0046201578612264</v>
      </c>
      <c r="D13" s="45">
        <f>(Financials!E40+Financials!E41)/Financials!E48</f>
        <v>5.9670216750364808</v>
      </c>
      <c r="E13" s="45">
        <f>(Financials!F40+Financials!F41)/Financials!F48</f>
        <v>8.7057377112883536</v>
      </c>
    </row>
    <row r="14" spans="1:5" x14ac:dyDescent="0.2">
      <c r="A14" s="37" t="s">
        <v>237</v>
      </c>
      <c r="B14" s="37"/>
      <c r="C14" s="45">
        <f>Financials!D40/Financials!D49</f>
        <v>1.8866334228686554</v>
      </c>
      <c r="D14" s="45">
        <f>Financials!E40/Financials!E49</f>
        <v>3.8740480001147968</v>
      </c>
      <c r="E14" s="45">
        <f>Financials!F40/Financials!F49</f>
        <v>6.6230949313142657</v>
      </c>
    </row>
    <row r="15" spans="1:5" x14ac:dyDescent="0.2">
      <c r="A15" s="37" t="s">
        <v>238</v>
      </c>
      <c r="B15" s="37"/>
      <c r="C15" s="37">
        <f>'Other assumptions'!E70</f>
        <v>2</v>
      </c>
      <c r="D15" s="37">
        <f>'Other assumptions'!F70</f>
        <v>2</v>
      </c>
      <c r="E15" s="37">
        <f>'Other assumptions'!G70</f>
        <v>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EC4EE-25A0-42A9-A6F0-7CB2B04B5896}">
  <dimension ref="A1:D15"/>
  <sheetViews>
    <sheetView showGridLines="0" zoomScale="85" zoomScaleNormal="85" workbookViewId="0">
      <selection activeCell="F32" sqref="F32"/>
    </sheetView>
  </sheetViews>
  <sheetFormatPr baseColWidth="10" defaultColWidth="8.83203125" defaultRowHeight="16" x14ac:dyDescent="0.2"/>
  <cols>
    <col min="1" max="1" width="36.6640625" bestFit="1" customWidth="1"/>
    <col min="4" max="4" width="11.6640625" bestFit="1" customWidth="1"/>
  </cols>
  <sheetData>
    <row r="1" spans="1:4" x14ac:dyDescent="0.2">
      <c r="A1" s="110" t="s">
        <v>219</v>
      </c>
      <c r="B1" s="111"/>
    </row>
    <row r="2" spans="1:4" x14ac:dyDescent="0.2">
      <c r="A2" s="106" t="s">
        <v>220</v>
      </c>
      <c r="B2" s="106">
        <f>27</f>
        <v>27</v>
      </c>
    </row>
    <row r="3" spans="1:4" x14ac:dyDescent="0.2">
      <c r="A3" s="106" t="s">
        <v>221</v>
      </c>
      <c r="B3" s="106">
        <v>400</v>
      </c>
    </row>
    <row r="4" spans="1:4" x14ac:dyDescent="0.2">
      <c r="A4" s="106" t="s">
        <v>83</v>
      </c>
      <c r="B4" s="107">
        <v>0.12</v>
      </c>
    </row>
    <row r="5" spans="1:4" x14ac:dyDescent="0.2">
      <c r="A5" s="106" t="s">
        <v>249</v>
      </c>
      <c r="B5" s="107">
        <v>0.6</v>
      </c>
    </row>
    <row r="6" spans="1:4" x14ac:dyDescent="0.2">
      <c r="A6" s="106" t="s">
        <v>239</v>
      </c>
      <c r="B6" s="107">
        <v>0.09</v>
      </c>
    </row>
    <row r="7" spans="1:4" x14ac:dyDescent="0.2">
      <c r="A7" s="106" t="s">
        <v>240</v>
      </c>
      <c r="B7" s="107">
        <v>0.1</v>
      </c>
    </row>
    <row r="8" spans="1:4" x14ac:dyDescent="0.2">
      <c r="A8" s="106" t="s">
        <v>241</v>
      </c>
      <c r="B8" s="106">
        <v>270</v>
      </c>
    </row>
    <row r="9" spans="1:4" x14ac:dyDescent="0.2">
      <c r="A9" s="106" t="s">
        <v>242</v>
      </c>
      <c r="B9" s="107">
        <v>0.08</v>
      </c>
    </row>
    <row r="10" spans="1:4" x14ac:dyDescent="0.2">
      <c r="A10" s="106" t="s">
        <v>243</v>
      </c>
      <c r="B10" s="108">
        <v>0.15</v>
      </c>
    </row>
    <row r="11" spans="1:4" x14ac:dyDescent="0.2">
      <c r="A11" s="106" t="s">
        <v>244</v>
      </c>
      <c r="B11" s="109">
        <f>((0.7*1.7%)+(0.3*2.7%))</f>
        <v>2.0000000000000004E-2</v>
      </c>
    </row>
    <row r="12" spans="1:4" x14ac:dyDescent="0.2">
      <c r="A12" s="106" t="s">
        <v>245</v>
      </c>
      <c r="B12" s="109">
        <f>((0.7*1.7%)+(0.3*2.7%))</f>
        <v>2.0000000000000004E-2</v>
      </c>
    </row>
    <row r="13" spans="1:4" x14ac:dyDescent="0.2">
      <c r="A13" s="106" t="s">
        <v>246</v>
      </c>
      <c r="B13" s="106">
        <v>100</v>
      </c>
    </row>
    <row r="14" spans="1:4" x14ac:dyDescent="0.2">
      <c r="A14" s="106" t="s">
        <v>247</v>
      </c>
      <c r="B14" s="106">
        <v>500</v>
      </c>
    </row>
    <row r="15" spans="1:4" x14ac:dyDescent="0.2">
      <c r="A15" s="106" t="s">
        <v>248</v>
      </c>
      <c r="B15" s="106">
        <v>4</v>
      </c>
      <c r="D15" s="2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T33"/>
  <sheetViews>
    <sheetView showGridLines="0" tabSelected="1" zoomScale="85" zoomScaleNormal="85" zoomScalePageLayoutView="130" workbookViewId="0">
      <pane ySplit="1" topLeftCell="A4" activePane="bottomLeft" state="frozen"/>
      <selection pane="bottomLeft" activeCell="C32" sqref="C32"/>
    </sheetView>
  </sheetViews>
  <sheetFormatPr baseColWidth="10" defaultColWidth="0" defaultRowHeight="13" x14ac:dyDescent="0.15"/>
  <cols>
    <col min="1" max="1" width="35.6640625" style="37" customWidth="1"/>
    <col min="2" max="2" width="6.6640625" style="37" bestFit="1" customWidth="1"/>
    <col min="3" max="5" width="10.5" style="37" customWidth="1"/>
    <col min="6" max="6" width="11.83203125" style="37" bestFit="1" customWidth="1"/>
    <col min="7" max="8" width="10.5" style="37" customWidth="1"/>
    <col min="9" max="24" width="11.5" style="37" customWidth="1"/>
    <col min="25" max="39" width="13.1640625" style="37" customWidth="1"/>
    <col min="40" max="43" width="13.1640625" style="37" bestFit="1" customWidth="1"/>
    <col min="44" max="46" width="0" style="37" hidden="1" customWidth="1"/>
    <col min="47" max="16384" width="10.83203125" style="37" hidden="1"/>
  </cols>
  <sheetData>
    <row r="1" spans="1:43" x14ac:dyDescent="0.15">
      <c r="A1" s="36" t="s">
        <v>222</v>
      </c>
      <c r="B1" s="112">
        <v>43739</v>
      </c>
      <c r="C1" s="92">
        <v>43770</v>
      </c>
      <c r="D1" s="92">
        <v>43800</v>
      </c>
      <c r="E1" s="92">
        <v>43831</v>
      </c>
      <c r="F1" s="92">
        <v>43862</v>
      </c>
      <c r="G1" s="92">
        <v>43891</v>
      </c>
      <c r="H1" s="92">
        <v>43922</v>
      </c>
      <c r="I1" s="92">
        <v>43952</v>
      </c>
      <c r="J1" s="92">
        <v>43983</v>
      </c>
      <c r="K1" s="92">
        <v>44013</v>
      </c>
      <c r="L1" s="92">
        <v>44044</v>
      </c>
      <c r="M1" s="92">
        <v>44075</v>
      </c>
      <c r="N1" s="92">
        <v>44105</v>
      </c>
      <c r="O1" s="92">
        <v>44136</v>
      </c>
      <c r="P1" s="92">
        <v>44166</v>
      </c>
      <c r="Q1" s="92">
        <v>44197</v>
      </c>
      <c r="R1" s="92">
        <v>44228</v>
      </c>
      <c r="S1" s="92">
        <v>44256</v>
      </c>
      <c r="T1" s="92">
        <v>44287</v>
      </c>
      <c r="U1" s="92">
        <v>44317</v>
      </c>
      <c r="V1" s="92">
        <v>44348</v>
      </c>
      <c r="W1" s="92">
        <v>44378</v>
      </c>
      <c r="X1" s="92">
        <v>44409</v>
      </c>
      <c r="Y1" s="92">
        <v>44440</v>
      </c>
      <c r="Z1" s="92">
        <v>44470</v>
      </c>
      <c r="AA1" s="92">
        <v>44501</v>
      </c>
      <c r="AB1" s="92">
        <v>44531</v>
      </c>
      <c r="AC1" s="92">
        <v>44562</v>
      </c>
      <c r="AD1" s="92">
        <v>44593</v>
      </c>
      <c r="AE1" s="92">
        <v>44621</v>
      </c>
      <c r="AF1" s="92">
        <v>44652</v>
      </c>
      <c r="AG1" s="92">
        <v>44682</v>
      </c>
      <c r="AH1" s="92">
        <v>44713</v>
      </c>
      <c r="AI1" s="92">
        <v>44743</v>
      </c>
      <c r="AJ1" s="92">
        <v>44774</v>
      </c>
      <c r="AK1" s="92">
        <v>44805</v>
      </c>
      <c r="AL1" s="92">
        <v>44835</v>
      </c>
      <c r="AM1" s="92">
        <v>44866</v>
      </c>
      <c r="AN1" s="92">
        <v>44896</v>
      </c>
      <c r="AO1" s="92">
        <v>44927</v>
      </c>
      <c r="AP1" s="92">
        <v>44958</v>
      </c>
      <c r="AQ1" s="92">
        <v>44986</v>
      </c>
    </row>
    <row r="2" spans="1:43" x14ac:dyDescent="0.15">
      <c r="A2" s="37" t="s">
        <v>91</v>
      </c>
      <c r="B2" s="113">
        <v>30</v>
      </c>
      <c r="C2" s="114">
        <v>25</v>
      </c>
      <c r="D2" s="114">
        <f>C6</f>
        <v>27</v>
      </c>
      <c r="E2" s="114">
        <f t="shared" ref="E2:O2" si="0">D6</f>
        <v>29</v>
      </c>
      <c r="F2" s="114">
        <f t="shared" si="0"/>
        <v>32</v>
      </c>
      <c r="G2" s="114">
        <f t="shared" si="0"/>
        <v>35</v>
      </c>
      <c r="H2" s="114">
        <f t="shared" si="0"/>
        <v>38</v>
      </c>
      <c r="I2" s="114">
        <f t="shared" si="0"/>
        <v>41</v>
      </c>
      <c r="J2" s="114">
        <f t="shared" si="0"/>
        <v>45</v>
      </c>
      <c r="K2" s="114">
        <f t="shared" si="0"/>
        <v>49</v>
      </c>
      <c r="L2" s="114">
        <f t="shared" si="0"/>
        <v>53</v>
      </c>
      <c r="M2" s="114">
        <f t="shared" si="0"/>
        <v>58</v>
      </c>
      <c r="N2" s="114">
        <f t="shared" si="0"/>
        <v>63</v>
      </c>
      <c r="O2" s="114">
        <f t="shared" si="0"/>
        <v>69</v>
      </c>
      <c r="P2" s="114">
        <f t="shared" ref="P2" si="1">O6</f>
        <v>75</v>
      </c>
      <c r="Q2" s="114">
        <f t="shared" ref="Q2" si="2">P6</f>
        <v>82</v>
      </c>
      <c r="R2" s="114">
        <f t="shared" ref="R2" si="3">Q6</f>
        <v>89</v>
      </c>
      <c r="S2" s="114">
        <f t="shared" ref="S2" si="4">R6</f>
        <v>97</v>
      </c>
      <c r="T2" s="114">
        <f t="shared" ref="T2" si="5">S6</f>
        <v>106</v>
      </c>
      <c r="U2" s="114">
        <f t="shared" ref="U2" si="6">T6</f>
        <v>116</v>
      </c>
      <c r="V2" s="114">
        <f t="shared" ref="V2" si="7">U6</f>
        <v>126</v>
      </c>
      <c r="W2" s="114">
        <f t="shared" ref="W2" si="8">V6</f>
        <v>137</v>
      </c>
      <c r="X2" s="114">
        <f t="shared" ref="X2" si="9">W6</f>
        <v>149</v>
      </c>
      <c r="Y2" s="114">
        <f t="shared" ref="Y2" si="10">X6</f>
        <v>162</v>
      </c>
      <c r="Z2" s="114">
        <f t="shared" ref="Z2" si="11">Y6</f>
        <v>177</v>
      </c>
      <c r="AA2" s="114">
        <f t="shared" ref="AA2" si="12">Z6</f>
        <v>193</v>
      </c>
      <c r="AB2" s="114">
        <f t="shared" ref="AB2" si="13">AA6</f>
        <v>210</v>
      </c>
      <c r="AC2" s="114">
        <f t="shared" ref="AC2" si="14">AB6</f>
        <v>229</v>
      </c>
      <c r="AD2" s="114">
        <f t="shared" ref="AD2" si="15">AC6</f>
        <v>250</v>
      </c>
      <c r="AE2" s="114">
        <f t="shared" ref="AE2" si="16">AD6</f>
        <v>273</v>
      </c>
      <c r="AF2" s="114">
        <f t="shared" ref="AF2" si="17">AE6</f>
        <v>298</v>
      </c>
      <c r="AG2" s="114">
        <f t="shared" ref="AG2" si="18">AF6</f>
        <v>325</v>
      </c>
      <c r="AH2" s="114">
        <f t="shared" ref="AH2" si="19">AG6</f>
        <v>354</v>
      </c>
      <c r="AI2" s="114">
        <f t="shared" ref="AI2" si="20">AH6</f>
        <v>386</v>
      </c>
      <c r="AJ2" s="114">
        <f t="shared" ref="AJ2" si="21">AI6</f>
        <v>421</v>
      </c>
      <c r="AK2" s="114">
        <f t="shared" ref="AK2" si="22">AJ6</f>
        <v>459</v>
      </c>
      <c r="AL2" s="114">
        <f t="shared" ref="AL2" si="23">AK6</f>
        <v>500</v>
      </c>
      <c r="AM2" s="114">
        <f t="shared" ref="AM2:AQ2" si="24">AL6</f>
        <v>545</v>
      </c>
      <c r="AN2" s="114">
        <f t="shared" si="24"/>
        <v>594</v>
      </c>
      <c r="AO2" s="114">
        <f t="shared" si="24"/>
        <v>647</v>
      </c>
      <c r="AP2" s="114">
        <f t="shared" si="24"/>
        <v>705</v>
      </c>
      <c r="AQ2" s="114">
        <f t="shared" si="24"/>
        <v>768</v>
      </c>
    </row>
    <row r="3" spans="1:43" x14ac:dyDescent="0.15">
      <c r="A3" s="37" t="s">
        <v>92</v>
      </c>
      <c r="B3" s="113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</row>
    <row r="4" spans="1:43" x14ac:dyDescent="0.15">
      <c r="A4" s="94" t="s">
        <v>71</v>
      </c>
      <c r="B4" s="115"/>
      <c r="C4" s="114">
        <f>ROUND(C6-C2+C5,0)</f>
        <v>2</v>
      </c>
      <c r="D4" s="114">
        <f t="shared" ref="D4:O4" si="25">D6-D2+D5</f>
        <v>2</v>
      </c>
      <c r="E4" s="114">
        <f>E6-E2+E5</f>
        <v>3</v>
      </c>
      <c r="F4" s="114">
        <f t="shared" si="25"/>
        <v>3</v>
      </c>
      <c r="G4" s="114">
        <f t="shared" si="25"/>
        <v>3</v>
      </c>
      <c r="H4" s="114">
        <f t="shared" si="25"/>
        <v>3</v>
      </c>
      <c r="I4" s="114">
        <f t="shared" si="25"/>
        <v>4</v>
      </c>
      <c r="J4" s="114">
        <f t="shared" si="25"/>
        <v>4</v>
      </c>
      <c r="K4" s="114">
        <f t="shared" si="25"/>
        <v>4</v>
      </c>
      <c r="L4" s="114">
        <f t="shared" si="25"/>
        <v>8</v>
      </c>
      <c r="M4" s="114">
        <f t="shared" si="25"/>
        <v>8</v>
      </c>
      <c r="N4" s="114">
        <f t="shared" si="25"/>
        <v>9</v>
      </c>
      <c r="O4" s="114">
        <f t="shared" si="25"/>
        <v>9</v>
      </c>
      <c r="P4" s="114">
        <f t="shared" ref="P4:AM4" si="26">P6-P2+P5</f>
        <v>11</v>
      </c>
      <c r="Q4" s="114">
        <f t="shared" si="26"/>
        <v>11</v>
      </c>
      <c r="R4" s="114">
        <f t="shared" si="26"/>
        <v>12</v>
      </c>
      <c r="S4" s="114">
        <f t="shared" si="26"/>
        <v>14</v>
      </c>
      <c r="T4" s="114">
        <f t="shared" si="26"/>
        <v>15</v>
      </c>
      <c r="U4" s="114">
        <f t="shared" si="26"/>
        <v>15</v>
      </c>
      <c r="V4" s="114">
        <f t="shared" si="26"/>
        <v>17</v>
      </c>
      <c r="W4" s="114">
        <f t="shared" si="26"/>
        <v>18</v>
      </c>
      <c r="X4" s="114">
        <f t="shared" si="26"/>
        <v>20</v>
      </c>
      <c r="Y4" s="114">
        <f t="shared" si="26"/>
        <v>23</v>
      </c>
      <c r="Z4" s="114">
        <f t="shared" si="26"/>
        <v>24</v>
      </c>
      <c r="AA4" s="114">
        <f t="shared" si="26"/>
        <v>26</v>
      </c>
      <c r="AB4" s="114">
        <f t="shared" si="26"/>
        <v>29</v>
      </c>
      <c r="AC4" s="114">
        <f t="shared" si="26"/>
        <v>32</v>
      </c>
      <c r="AD4" s="114">
        <f t="shared" si="26"/>
        <v>35</v>
      </c>
      <c r="AE4" s="114">
        <f t="shared" si="26"/>
        <v>38</v>
      </c>
      <c r="AF4" s="114">
        <f t="shared" si="26"/>
        <v>41</v>
      </c>
      <c r="AG4" s="114">
        <f t="shared" si="26"/>
        <v>44</v>
      </c>
      <c r="AH4" s="114">
        <f t="shared" si="26"/>
        <v>48</v>
      </c>
      <c r="AI4" s="114">
        <f t="shared" si="26"/>
        <v>53</v>
      </c>
      <c r="AJ4" s="114">
        <f t="shared" si="26"/>
        <v>57</v>
      </c>
      <c r="AK4" s="114">
        <f t="shared" si="26"/>
        <v>62</v>
      </c>
      <c r="AL4" s="114">
        <f t="shared" si="26"/>
        <v>68</v>
      </c>
      <c r="AM4" s="114">
        <f t="shared" si="26"/>
        <v>74</v>
      </c>
      <c r="AN4" s="114">
        <f t="shared" ref="AN4:AO4" si="27">AN6-AN2+AN5</f>
        <v>80</v>
      </c>
      <c r="AO4" s="114">
        <f t="shared" si="27"/>
        <v>88</v>
      </c>
      <c r="AP4" s="114">
        <f t="shared" ref="AP4:AQ4" si="28">AP6-AP2+AP5</f>
        <v>96</v>
      </c>
      <c r="AQ4" s="114">
        <f t="shared" si="28"/>
        <v>104</v>
      </c>
    </row>
    <row r="5" spans="1:43" x14ac:dyDescent="0.15">
      <c r="A5" s="95" t="s">
        <v>72</v>
      </c>
      <c r="B5" s="95"/>
      <c r="C5" s="96">
        <v>0</v>
      </c>
      <c r="D5" s="96">
        <v>0</v>
      </c>
      <c r="E5" s="96">
        <v>0</v>
      </c>
      <c r="F5" s="96">
        <v>0</v>
      </c>
      <c r="G5" s="96">
        <v>0</v>
      </c>
      <c r="H5" s="96"/>
      <c r="I5" s="96"/>
      <c r="J5" s="96"/>
      <c r="K5" s="96"/>
      <c r="L5" s="97">
        <f>ROUND(C2*'Critical assumptions'!$B$7,0.25)</f>
        <v>3</v>
      </c>
      <c r="M5" s="97">
        <f>ROUND(D2*'Critical assumptions'!$B$7,0.25)</f>
        <v>3</v>
      </c>
      <c r="N5" s="97">
        <f>ROUND(E2*'Critical assumptions'!$B$7,0.25)</f>
        <v>3</v>
      </c>
      <c r="O5" s="97">
        <f>ROUND(F2*'Critical assumptions'!$B$7,0.25)</f>
        <v>3</v>
      </c>
      <c r="P5" s="97">
        <f>ROUND(G2*'Critical assumptions'!$B$7,0.25)</f>
        <v>4</v>
      </c>
      <c r="Q5" s="97">
        <f>ROUND(H2*'Critical assumptions'!$B$7,0.25)</f>
        <v>4</v>
      </c>
      <c r="R5" s="97">
        <f>ROUND(I2*'Critical assumptions'!$B$7,0.25)</f>
        <v>4</v>
      </c>
      <c r="S5" s="97">
        <f>ROUND(J2*'Critical assumptions'!$B$7,0.25)</f>
        <v>5</v>
      </c>
      <c r="T5" s="97">
        <f>ROUND(K2*'Critical assumptions'!$B$7,0.25)</f>
        <v>5</v>
      </c>
      <c r="U5" s="97">
        <f>ROUND(L2*'Critical assumptions'!$B$7,0.25)</f>
        <v>5</v>
      </c>
      <c r="V5" s="97">
        <f>ROUND(M2*'Critical assumptions'!$B$7,0.25)</f>
        <v>6</v>
      </c>
      <c r="W5" s="97">
        <f>ROUND(N2*'Critical assumptions'!$B$7,0.25)</f>
        <v>6</v>
      </c>
      <c r="X5" s="97">
        <f>ROUND(O2*'Critical assumptions'!$B$7,0.25)</f>
        <v>7</v>
      </c>
      <c r="Y5" s="97">
        <f>ROUND(P2*'Critical assumptions'!$B$7,0.25)</f>
        <v>8</v>
      </c>
      <c r="Z5" s="97">
        <f>ROUND(Q2*'Critical assumptions'!$B$7,0.25)</f>
        <v>8</v>
      </c>
      <c r="AA5" s="97">
        <f>ROUND(R2*'Critical assumptions'!$B$7,0.25)</f>
        <v>9</v>
      </c>
      <c r="AB5" s="97">
        <f>ROUND(S2*'Critical assumptions'!$B$7,0.25)</f>
        <v>10</v>
      </c>
      <c r="AC5" s="97">
        <f>ROUND(T2*'Critical assumptions'!$B$7,0.25)</f>
        <v>11</v>
      </c>
      <c r="AD5" s="97">
        <f>ROUND(U2*'Critical assumptions'!$B$7,0.25)</f>
        <v>12</v>
      </c>
      <c r="AE5" s="97">
        <f>ROUND(V2*'Critical assumptions'!$B$7,0.25)</f>
        <v>13</v>
      </c>
      <c r="AF5" s="97">
        <f>ROUND(W2*'Critical assumptions'!$B$7,0.25)</f>
        <v>14</v>
      </c>
      <c r="AG5" s="97">
        <f>ROUND(X2*'Critical assumptions'!$B$7,0.25)</f>
        <v>15</v>
      </c>
      <c r="AH5" s="97">
        <f>ROUND(Y2*'Critical assumptions'!$B$7,0.25)</f>
        <v>16</v>
      </c>
      <c r="AI5" s="97">
        <f>ROUND(Z2*'Critical assumptions'!$B$7,0.25)</f>
        <v>18</v>
      </c>
      <c r="AJ5" s="97">
        <f>ROUND(AA2*'Critical assumptions'!$B$7,0.25)</f>
        <v>19</v>
      </c>
      <c r="AK5" s="97">
        <f>ROUND(AB2*'Critical assumptions'!$B$7,0.25)</f>
        <v>21</v>
      </c>
      <c r="AL5" s="97">
        <f>ROUND(AC2*'Critical assumptions'!$B$7,0.25)</f>
        <v>23</v>
      </c>
      <c r="AM5" s="97">
        <f>ROUND(AD2*'Critical assumptions'!$B$7,0.25)</f>
        <v>25</v>
      </c>
      <c r="AN5" s="97">
        <f>ROUND(AE2*'Critical assumptions'!$B$7,0.25)</f>
        <v>27</v>
      </c>
      <c r="AO5" s="97">
        <f>ROUND(AF2*'Critical assumptions'!$B$7,0.25)</f>
        <v>30</v>
      </c>
      <c r="AP5" s="97">
        <f>ROUND(AG2*'Critical assumptions'!$B$7,0.25)</f>
        <v>33</v>
      </c>
      <c r="AQ5" s="97">
        <f>ROUND(AH2*'Critical assumptions'!$B$7,0.25)</f>
        <v>35</v>
      </c>
    </row>
    <row r="6" spans="1:43" x14ac:dyDescent="0.15">
      <c r="A6" s="98" t="s">
        <v>73</v>
      </c>
      <c r="B6" s="98"/>
      <c r="C6" s="99">
        <f>ROUND(C2*(1+'Critical assumptions'!$B$6),0.25)</f>
        <v>27</v>
      </c>
      <c r="D6" s="99">
        <f>ROUND(D2*(1+'Critical assumptions'!$B$6),0.25)</f>
        <v>29</v>
      </c>
      <c r="E6" s="99">
        <f>ROUND(E2*(1+'Critical assumptions'!$B$6),0.25)</f>
        <v>32</v>
      </c>
      <c r="F6" s="99">
        <f>ROUND(F2*(1+'Critical assumptions'!$B$6),0.25)</f>
        <v>35</v>
      </c>
      <c r="G6" s="99">
        <f>ROUND(G2*(1+'Critical assumptions'!$B$6),0.25)</f>
        <v>38</v>
      </c>
      <c r="H6" s="99">
        <f>ROUND(H2*(1+'Critical assumptions'!$B$6),0.25)</f>
        <v>41</v>
      </c>
      <c r="I6" s="99">
        <f>ROUND(I2*(1+'Critical assumptions'!$B$6),0.25)</f>
        <v>45</v>
      </c>
      <c r="J6" s="99">
        <f>ROUND(J2*(1+'Critical assumptions'!$B$6),0.25)</f>
        <v>49</v>
      </c>
      <c r="K6" s="99">
        <f>ROUND(K2*(1+'Critical assumptions'!$B$6),0.25)</f>
        <v>53</v>
      </c>
      <c r="L6" s="99">
        <f>ROUND(L2*(1+'Critical assumptions'!$B$6),0.25)</f>
        <v>58</v>
      </c>
      <c r="M6" s="99">
        <f>ROUND(M2*(1+'Critical assumptions'!$B$6),0.25)</f>
        <v>63</v>
      </c>
      <c r="N6" s="99">
        <f>ROUND(N2*(1+'Critical assumptions'!$B$6),0.25)</f>
        <v>69</v>
      </c>
      <c r="O6" s="99">
        <f>ROUND(O2*(1+'Critical assumptions'!$B$6),0.25)</f>
        <v>75</v>
      </c>
      <c r="P6" s="99">
        <f>ROUND(P2*(1+'Critical assumptions'!$B$6),0.25)</f>
        <v>82</v>
      </c>
      <c r="Q6" s="99">
        <f>ROUND(Q2*(1+'Critical assumptions'!$B$6),0.25)</f>
        <v>89</v>
      </c>
      <c r="R6" s="99">
        <f>ROUND(R2*(1+'Critical assumptions'!$B$6),0.25)</f>
        <v>97</v>
      </c>
      <c r="S6" s="99">
        <f>ROUND(S2*(1+'Critical assumptions'!$B$6),0.25)</f>
        <v>106</v>
      </c>
      <c r="T6" s="99">
        <f>ROUND(T2*(1+'Critical assumptions'!$B$6),0.25)</f>
        <v>116</v>
      </c>
      <c r="U6" s="99">
        <f>ROUND(U2*(1+'Critical assumptions'!$B$6),0.25)</f>
        <v>126</v>
      </c>
      <c r="V6" s="99">
        <f>ROUND(V2*(1+'Critical assumptions'!$B$6),0.25)</f>
        <v>137</v>
      </c>
      <c r="W6" s="99">
        <f>ROUND(W2*(1+'Critical assumptions'!$B$6),0.25)</f>
        <v>149</v>
      </c>
      <c r="X6" s="99">
        <f>ROUND(X2*(1+'Critical assumptions'!$B$6),0.25)</f>
        <v>162</v>
      </c>
      <c r="Y6" s="99">
        <f>ROUND(Y2*(1+'Critical assumptions'!$B$6),0.25)</f>
        <v>177</v>
      </c>
      <c r="Z6" s="99">
        <f>ROUND(Z2*(1+'Critical assumptions'!$B$6),0.25)</f>
        <v>193</v>
      </c>
      <c r="AA6" s="99">
        <f>ROUND(AA2*(1+'Critical assumptions'!$B$6),0.25)</f>
        <v>210</v>
      </c>
      <c r="AB6" s="99">
        <f>ROUND(AB2*(1+'Critical assumptions'!$B$6),0.25)</f>
        <v>229</v>
      </c>
      <c r="AC6" s="99">
        <f>ROUND(AC2*(1+'Critical assumptions'!$B$6),0.25)</f>
        <v>250</v>
      </c>
      <c r="AD6" s="99">
        <f>ROUND(AD2*(1+'Critical assumptions'!$B$6),0.25)</f>
        <v>273</v>
      </c>
      <c r="AE6" s="99">
        <f>ROUND(AE2*(1+'Critical assumptions'!$B$6),0.25)</f>
        <v>298</v>
      </c>
      <c r="AF6" s="99">
        <f>ROUND(AF2*(1+'Critical assumptions'!$B$6),0.25)</f>
        <v>325</v>
      </c>
      <c r="AG6" s="99">
        <f>ROUND(AG2*(1+'Critical assumptions'!$B$6),0.25)</f>
        <v>354</v>
      </c>
      <c r="AH6" s="99">
        <f>ROUND(AH2*(1+'Critical assumptions'!$B$6),0.25)</f>
        <v>386</v>
      </c>
      <c r="AI6" s="99">
        <f>ROUND(AI2*(1+'Critical assumptions'!$B$6),0.25)</f>
        <v>421</v>
      </c>
      <c r="AJ6" s="99">
        <f>ROUND(AJ2*(1+'Critical assumptions'!$B$6),0.25)</f>
        <v>459</v>
      </c>
      <c r="AK6" s="99">
        <f>ROUND(AK2*(1+'Critical assumptions'!$B$6),0.25)</f>
        <v>500</v>
      </c>
      <c r="AL6" s="99">
        <f>ROUND(AL2*(1+'Critical assumptions'!$B$6),0.25)</f>
        <v>545</v>
      </c>
      <c r="AM6" s="99">
        <f>ROUND(AM2*(1+'Critical assumptions'!$B$6),0.25)</f>
        <v>594</v>
      </c>
      <c r="AN6" s="99">
        <f>ROUND(AN2*(1+'Critical assumptions'!$B$6),0.25)</f>
        <v>647</v>
      </c>
      <c r="AO6" s="99">
        <f>ROUND(AO2*(1+'Critical assumptions'!$B$6),0.25)</f>
        <v>705</v>
      </c>
      <c r="AP6" s="99">
        <f>ROUND(AP2*(1+'Critical assumptions'!$B$6),0.25)</f>
        <v>768</v>
      </c>
      <c r="AQ6" s="99">
        <f>ROUND(AQ2*(1+'Critical assumptions'!$B$6),0.25)</f>
        <v>837</v>
      </c>
    </row>
    <row r="7" spans="1:43" x14ac:dyDescent="0.15">
      <c r="A7" s="98"/>
      <c r="B7" s="98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</row>
    <row r="8" spans="1:43" x14ac:dyDescent="0.15">
      <c r="A8" s="94" t="s">
        <v>89</v>
      </c>
      <c r="B8" s="94"/>
      <c r="C8" s="43">
        <f>'Critical assumptions'!$B$3*'Critical assumptions'!$B$4*C6*'Critical assumptions'!$B$5</f>
        <v>777.6</v>
      </c>
      <c r="D8" s="43">
        <f>'Critical assumptions'!$B$3*'Critical assumptions'!$B$4*D6*'Critical assumptions'!$B$5</f>
        <v>835.19999999999993</v>
      </c>
      <c r="E8" s="43">
        <f>'Critical assumptions'!$B$3*'Critical assumptions'!$B$4*E6*'Critical assumptions'!$B$5</f>
        <v>921.59999999999991</v>
      </c>
      <c r="F8" s="43">
        <f>'Critical assumptions'!$B$3*'Critical assumptions'!$B$4*F6*'Critical assumptions'!$B$5</f>
        <v>1008</v>
      </c>
      <c r="G8" s="43">
        <f>'Critical assumptions'!$B$3*'Critical assumptions'!$B$4*G6*'Critical assumptions'!$B$5</f>
        <v>1094.3999999999999</v>
      </c>
      <c r="H8" s="43">
        <f>'Critical assumptions'!$B$3*'Critical assumptions'!$B$4*H6*'Critical assumptions'!$B$5</f>
        <v>1180.8</v>
      </c>
      <c r="I8" s="43">
        <f>'Critical assumptions'!$B$3*'Critical assumptions'!$B$4*I6*'Critical assumptions'!$B$5</f>
        <v>1296</v>
      </c>
      <c r="J8" s="43">
        <f>'Critical assumptions'!$B$3*'Critical assumptions'!$B$4*J6*'Critical assumptions'!$B$5</f>
        <v>1411.2</v>
      </c>
      <c r="K8" s="43">
        <f>'Critical assumptions'!$B$3*'Critical assumptions'!$B$4*K6*'Critical assumptions'!$B$5</f>
        <v>1526.3999999999999</v>
      </c>
      <c r="L8" s="43">
        <f>'Critical assumptions'!$B$3*'Critical assumptions'!$B$4*L6*'Critical assumptions'!$B$5</f>
        <v>1670.3999999999999</v>
      </c>
      <c r="M8" s="43">
        <f>'Critical assumptions'!$B$3*'Critical assumptions'!$B$4*M6*'Critical assumptions'!$B$5</f>
        <v>1814.3999999999999</v>
      </c>
      <c r="N8" s="43">
        <f>'Critical assumptions'!$B$3*'Critical assumptions'!$B$4*N6*'Critical assumptions'!$B$5</f>
        <v>1987.1999999999998</v>
      </c>
      <c r="O8" s="43">
        <f>'Critical assumptions'!$B$3*'Critical assumptions'!$B$4*O6*'Critical assumptions'!$B$5</f>
        <v>2160</v>
      </c>
      <c r="P8" s="43">
        <f>'Critical assumptions'!$B$3*'Critical assumptions'!$B$4*P6*'Critical assumptions'!$B$5</f>
        <v>2361.6</v>
      </c>
      <c r="Q8" s="43">
        <f>'Critical assumptions'!$B$3*'Critical assumptions'!$B$4*Q6*'Critical assumptions'!$B$5</f>
        <v>2563.1999999999998</v>
      </c>
      <c r="R8" s="43">
        <f>'Critical assumptions'!$B$3*'Critical assumptions'!$B$4*R6*'Critical assumptions'!$B$5</f>
        <v>2793.6</v>
      </c>
      <c r="S8" s="43">
        <f>'Critical assumptions'!$B$3*'Critical assumptions'!$B$4*S6*'Critical assumptions'!$B$5</f>
        <v>3052.7999999999997</v>
      </c>
      <c r="T8" s="43">
        <f>'Critical assumptions'!$B$3*'Critical assumptions'!$B$4*T6*'Critical assumptions'!$B$5</f>
        <v>3340.7999999999997</v>
      </c>
      <c r="U8" s="43">
        <f>'Critical assumptions'!$B$3*'Critical assumptions'!$B$4*U6*'Critical assumptions'!$B$5</f>
        <v>3628.7999999999997</v>
      </c>
      <c r="V8" s="43">
        <f>'Critical assumptions'!$B$3*'Critical assumptions'!$B$4*V6*'Critical assumptions'!$B$5</f>
        <v>3945.6</v>
      </c>
      <c r="W8" s="43">
        <f>'Critical assumptions'!$B$3*'Critical assumptions'!$B$4*W6*'Critical assumptions'!$B$5</f>
        <v>4291.2</v>
      </c>
      <c r="X8" s="43">
        <f>'Critical assumptions'!$B$3*'Critical assumptions'!$B$4*X6*'Critical assumptions'!$B$5</f>
        <v>4665.5999999999995</v>
      </c>
      <c r="Y8" s="43">
        <f>'Critical assumptions'!$B$3*'Critical assumptions'!$B$4*Y6*'Critical assumptions'!$B$5</f>
        <v>5097.5999999999995</v>
      </c>
      <c r="Z8" s="43">
        <f>'Critical assumptions'!$B$3*'Critical assumptions'!$B$4*Z6*'Critical assumptions'!$B$5</f>
        <v>5558.4</v>
      </c>
      <c r="AA8" s="43">
        <f>'Critical assumptions'!$B$3*'Critical assumptions'!$B$4*AA6*'Critical assumptions'!$B$5</f>
        <v>6048</v>
      </c>
      <c r="AB8" s="43">
        <f>'Critical assumptions'!$B$3*'Critical assumptions'!$B$4*AB6*'Critical assumptions'!$B$5</f>
        <v>6595.2</v>
      </c>
      <c r="AC8" s="43">
        <f>'Critical assumptions'!$B$3*'Critical assumptions'!$B$4*AC6*'Critical assumptions'!$B$5</f>
        <v>7200</v>
      </c>
      <c r="AD8" s="43">
        <f>'Critical assumptions'!$B$3*'Critical assumptions'!$B$4*AD6*'Critical assumptions'!$B$5</f>
        <v>7862.4</v>
      </c>
      <c r="AE8" s="43">
        <f>'Critical assumptions'!$B$3*'Critical assumptions'!$B$4*AE6*'Critical assumptions'!$B$5</f>
        <v>8582.4</v>
      </c>
      <c r="AF8" s="43">
        <f>'Critical assumptions'!$B$3*'Critical assumptions'!$B$4*AF6*'Critical assumptions'!$B$5</f>
        <v>9360</v>
      </c>
      <c r="AG8" s="43">
        <f>'Critical assumptions'!$B$3*'Critical assumptions'!$B$4*AG6*'Critical assumptions'!$B$5</f>
        <v>10195.199999999999</v>
      </c>
      <c r="AH8" s="43">
        <f>'Critical assumptions'!$B$3*'Critical assumptions'!$B$4*AH6*'Critical assumptions'!$B$5</f>
        <v>11116.8</v>
      </c>
      <c r="AI8" s="43">
        <f>'Critical assumptions'!$B$3*'Critical assumptions'!$B$4*AI6*'Critical assumptions'!$B$5</f>
        <v>12124.8</v>
      </c>
      <c r="AJ8" s="43">
        <f>'Critical assumptions'!$B$3*'Critical assumptions'!$B$4*AJ6*'Critical assumptions'!$B$5</f>
        <v>13219.199999999999</v>
      </c>
      <c r="AK8" s="43">
        <f>'Critical assumptions'!$B$3*'Critical assumptions'!$B$4*AK6*'Critical assumptions'!$B$5</f>
        <v>14400</v>
      </c>
      <c r="AL8" s="43">
        <f>'Critical assumptions'!$B$3*'Critical assumptions'!$B$4*AL6*'Critical assumptions'!$B$5</f>
        <v>15696</v>
      </c>
      <c r="AM8" s="43">
        <f>'Critical assumptions'!$B$3*'Critical assumptions'!$B$4*AM6*'Critical assumptions'!$B$5</f>
        <v>17107.2</v>
      </c>
      <c r="AN8" s="43">
        <f>'Critical assumptions'!$B$3*'Critical assumptions'!$B$4*AN6*'Critical assumptions'!$B$5</f>
        <v>18633.599999999999</v>
      </c>
      <c r="AO8" s="43">
        <f>'Critical assumptions'!$B$3*'Critical assumptions'!$B$4*AO6*'Critical assumptions'!$B$5</f>
        <v>20304</v>
      </c>
      <c r="AP8" s="43">
        <f>'Critical assumptions'!$B$3*'Critical assumptions'!$B$4*AP6*'Critical assumptions'!$B$5</f>
        <v>22118.399999999998</v>
      </c>
      <c r="AQ8" s="43">
        <f>'Critical assumptions'!$B$3*'Critical assumptions'!$B$4*AQ6*'Critical assumptions'!$B$5</f>
        <v>24105.599999999999</v>
      </c>
    </row>
    <row r="9" spans="1:43" x14ac:dyDescent="0.15">
      <c r="A9" s="94" t="s">
        <v>90</v>
      </c>
      <c r="B9" s="94"/>
      <c r="C9" s="43">
        <f>C8*'Critical assumptions'!$B$2</f>
        <v>20995.200000000001</v>
      </c>
      <c r="D9" s="43">
        <f>D8*'Critical assumptions'!$B$2</f>
        <v>22550.399999999998</v>
      </c>
      <c r="E9" s="43">
        <f>E8*'Critical assumptions'!$B$2</f>
        <v>24883.199999999997</v>
      </c>
      <c r="F9" s="43">
        <f>F8*'Critical assumptions'!$B$2</f>
        <v>27216</v>
      </c>
      <c r="G9" s="43">
        <f>G8*'Critical assumptions'!$B$2</f>
        <v>29548.799999999996</v>
      </c>
      <c r="H9" s="43">
        <f>H8*'Critical assumptions'!$B$2</f>
        <v>31881.599999999999</v>
      </c>
      <c r="I9" s="43">
        <f>I8*'Critical assumptions'!$B$2</f>
        <v>34992</v>
      </c>
      <c r="J9" s="43">
        <f>J8*'Critical assumptions'!$B$2</f>
        <v>38102.400000000001</v>
      </c>
      <c r="K9" s="43">
        <f>K8*'Critical assumptions'!$B$2</f>
        <v>41212.799999999996</v>
      </c>
      <c r="L9" s="43">
        <f>L8*'Critical assumptions'!$B$2</f>
        <v>45100.799999999996</v>
      </c>
      <c r="M9" s="43">
        <f>M8*'Critical assumptions'!$B$2</f>
        <v>48988.799999999996</v>
      </c>
      <c r="N9" s="43">
        <f>N8*'Critical assumptions'!$B$2</f>
        <v>53654.399999999994</v>
      </c>
      <c r="O9" s="43">
        <f>O8*'Critical assumptions'!$B$2</f>
        <v>58320</v>
      </c>
      <c r="P9" s="43">
        <f>P8*'Critical assumptions'!$B$2</f>
        <v>63763.199999999997</v>
      </c>
      <c r="Q9" s="43">
        <f>Q8*'Critical assumptions'!$B$2</f>
        <v>69206.399999999994</v>
      </c>
      <c r="R9" s="43">
        <f>R8*'Critical assumptions'!$B$2</f>
        <v>75427.199999999997</v>
      </c>
      <c r="S9" s="43">
        <f>S8*'Critical assumptions'!$B$2</f>
        <v>82425.599999999991</v>
      </c>
      <c r="T9" s="43">
        <f>T8*'Critical assumptions'!$B$2</f>
        <v>90201.599999999991</v>
      </c>
      <c r="U9" s="43">
        <f>U8*'Critical assumptions'!$B$2</f>
        <v>97977.599999999991</v>
      </c>
      <c r="V9" s="43">
        <f>V8*'Critical assumptions'!$B$2</f>
        <v>106531.2</v>
      </c>
      <c r="W9" s="43">
        <f>W8*'Critical assumptions'!$B$2</f>
        <v>115862.39999999999</v>
      </c>
      <c r="X9" s="43">
        <f>X8*'Critical assumptions'!$B$2</f>
        <v>125971.19999999998</v>
      </c>
      <c r="Y9" s="43">
        <f>Y8*'Critical assumptions'!$B$2</f>
        <v>137635.19999999998</v>
      </c>
      <c r="Z9" s="43">
        <f>Z8*'Critical assumptions'!$B$2</f>
        <v>150076.79999999999</v>
      </c>
      <c r="AA9" s="43">
        <f>AA8*'Critical assumptions'!$B$2</f>
        <v>163296</v>
      </c>
      <c r="AB9" s="43">
        <f>AB8*'Critical assumptions'!$B$2</f>
        <v>178070.39999999999</v>
      </c>
      <c r="AC9" s="43">
        <f>AC8*'Critical assumptions'!$B$2</f>
        <v>194400</v>
      </c>
      <c r="AD9" s="43">
        <f>AD8*'Critical assumptions'!$B$2</f>
        <v>212284.79999999999</v>
      </c>
      <c r="AE9" s="43">
        <f>AE8*'Critical assumptions'!$B$2</f>
        <v>231724.79999999999</v>
      </c>
      <c r="AF9" s="43">
        <f>AF8*'Critical assumptions'!$B$2</f>
        <v>252720</v>
      </c>
      <c r="AG9" s="43">
        <f>AG8*'Critical assumptions'!$B$2</f>
        <v>275270.39999999997</v>
      </c>
      <c r="AH9" s="43">
        <f>AH8*'Critical assumptions'!$B$2</f>
        <v>300153.59999999998</v>
      </c>
      <c r="AI9" s="43">
        <f>AI8*'Critical assumptions'!$B$2</f>
        <v>327369.59999999998</v>
      </c>
      <c r="AJ9" s="43">
        <f>AJ8*'Critical assumptions'!$B$2</f>
        <v>356918.39999999997</v>
      </c>
      <c r="AK9" s="43">
        <f>AK8*'Critical assumptions'!$B$2</f>
        <v>388800</v>
      </c>
      <c r="AL9" s="43">
        <f>AL8*'Critical assumptions'!$B$2</f>
        <v>423792</v>
      </c>
      <c r="AM9" s="43">
        <f>AM8*'Critical assumptions'!$B$2</f>
        <v>461894.40000000002</v>
      </c>
      <c r="AN9" s="43">
        <f>AN8*'Critical assumptions'!$B$2</f>
        <v>503107.19999999995</v>
      </c>
      <c r="AO9" s="43">
        <f>AO8*'Critical assumptions'!$B$2</f>
        <v>548208</v>
      </c>
      <c r="AP9" s="43">
        <f>AP8*'Critical assumptions'!$B$2</f>
        <v>597196.79999999993</v>
      </c>
      <c r="AQ9" s="43">
        <f>AQ8*'Critical assumptions'!$B$2</f>
        <v>650851.19999999995</v>
      </c>
    </row>
    <row r="10" spans="1:43" x14ac:dyDescent="0.15">
      <c r="A10" s="94" t="s">
        <v>101</v>
      </c>
      <c r="B10" s="94"/>
      <c r="C10" s="43">
        <f>C8*30</f>
        <v>23328</v>
      </c>
      <c r="D10" s="43">
        <f t="shared" ref="D10:O10" si="29">D8*30</f>
        <v>25055.999999999996</v>
      </c>
      <c r="E10" s="43">
        <f t="shared" si="29"/>
        <v>27647.999999999996</v>
      </c>
      <c r="F10" s="43">
        <f t="shared" si="29"/>
        <v>30240</v>
      </c>
      <c r="G10" s="43">
        <f t="shared" si="29"/>
        <v>32831.999999999993</v>
      </c>
      <c r="H10" s="43">
        <f t="shared" si="29"/>
        <v>35424</v>
      </c>
      <c r="I10" s="43">
        <f t="shared" si="29"/>
        <v>38880</v>
      </c>
      <c r="J10" s="43">
        <f t="shared" si="29"/>
        <v>42336</v>
      </c>
      <c r="K10" s="43">
        <f t="shared" si="29"/>
        <v>45791.999999999993</v>
      </c>
      <c r="L10" s="43">
        <f t="shared" si="29"/>
        <v>50111.999999999993</v>
      </c>
      <c r="M10" s="43">
        <f t="shared" si="29"/>
        <v>54431.999999999993</v>
      </c>
      <c r="N10" s="43">
        <f t="shared" si="29"/>
        <v>59615.999999999993</v>
      </c>
      <c r="O10" s="43">
        <f t="shared" si="29"/>
        <v>64800</v>
      </c>
      <c r="P10" s="43">
        <f t="shared" ref="P10:AM10" si="30">P8*30</f>
        <v>70848</v>
      </c>
      <c r="Q10" s="43">
        <f t="shared" si="30"/>
        <v>76896</v>
      </c>
      <c r="R10" s="43">
        <f t="shared" si="30"/>
        <v>83808</v>
      </c>
      <c r="S10" s="43">
        <f t="shared" si="30"/>
        <v>91583.999999999985</v>
      </c>
      <c r="T10" s="43">
        <f t="shared" si="30"/>
        <v>100223.99999999999</v>
      </c>
      <c r="U10" s="43">
        <f t="shared" si="30"/>
        <v>108863.99999999999</v>
      </c>
      <c r="V10" s="43">
        <f t="shared" si="30"/>
        <v>118368</v>
      </c>
      <c r="W10" s="43">
        <f t="shared" si="30"/>
        <v>128736</v>
      </c>
      <c r="X10" s="43">
        <f t="shared" si="30"/>
        <v>139967.99999999997</v>
      </c>
      <c r="Y10" s="43">
        <f t="shared" si="30"/>
        <v>152927.99999999997</v>
      </c>
      <c r="Z10" s="43">
        <f t="shared" si="30"/>
        <v>166752</v>
      </c>
      <c r="AA10" s="43">
        <f t="shared" si="30"/>
        <v>181440</v>
      </c>
      <c r="AB10" s="43">
        <f t="shared" si="30"/>
        <v>197856</v>
      </c>
      <c r="AC10" s="43">
        <f t="shared" si="30"/>
        <v>216000</v>
      </c>
      <c r="AD10" s="43">
        <f t="shared" si="30"/>
        <v>235872</v>
      </c>
      <c r="AE10" s="43">
        <f t="shared" si="30"/>
        <v>257472</v>
      </c>
      <c r="AF10" s="43">
        <f t="shared" si="30"/>
        <v>280800</v>
      </c>
      <c r="AG10" s="43">
        <f t="shared" si="30"/>
        <v>305855.99999999994</v>
      </c>
      <c r="AH10" s="43">
        <f t="shared" si="30"/>
        <v>333504</v>
      </c>
      <c r="AI10" s="43">
        <f t="shared" si="30"/>
        <v>363744</v>
      </c>
      <c r="AJ10" s="43">
        <f t="shared" si="30"/>
        <v>396575.99999999994</v>
      </c>
      <c r="AK10" s="43">
        <f t="shared" si="30"/>
        <v>432000</v>
      </c>
      <c r="AL10" s="43">
        <f t="shared" si="30"/>
        <v>470880</v>
      </c>
      <c r="AM10" s="43">
        <f t="shared" si="30"/>
        <v>513216</v>
      </c>
      <c r="AN10" s="43">
        <f t="shared" ref="AN10:AO10" si="31">AN8*30</f>
        <v>559008</v>
      </c>
      <c r="AO10" s="43">
        <f t="shared" si="31"/>
        <v>609120</v>
      </c>
      <c r="AP10" s="43">
        <f t="shared" ref="AP10:AQ10" si="32">AP8*30</f>
        <v>663551.99999999988</v>
      </c>
      <c r="AQ10" s="43">
        <f t="shared" si="32"/>
        <v>723168</v>
      </c>
    </row>
    <row r="11" spans="1:43" x14ac:dyDescent="0.15">
      <c r="A11" s="37" t="s">
        <v>85</v>
      </c>
      <c r="C11" s="44">
        <f>C10*'Critical assumptions'!$B$2</f>
        <v>629856</v>
      </c>
      <c r="D11" s="44">
        <f>D10*'Critical assumptions'!$B$2</f>
        <v>676511.99999999988</v>
      </c>
      <c r="E11" s="44">
        <f>E10*'Critical assumptions'!$B$2</f>
        <v>746495.99999999988</v>
      </c>
      <c r="F11" s="44">
        <f>F10*'Critical assumptions'!$B$2</f>
        <v>816480</v>
      </c>
      <c r="G11" s="44">
        <f>G10*'Critical assumptions'!$B$2</f>
        <v>886463.99999999977</v>
      </c>
      <c r="H11" s="44">
        <f>H10*'Critical assumptions'!$B$2</f>
        <v>956448</v>
      </c>
      <c r="I11" s="44">
        <f>I10*'Critical assumptions'!$B$2</f>
        <v>1049760</v>
      </c>
      <c r="J11" s="44">
        <f>J10*'Critical assumptions'!$B$2</f>
        <v>1143072</v>
      </c>
      <c r="K11" s="44">
        <f>K10*'Critical assumptions'!$B$2</f>
        <v>1236383.9999999998</v>
      </c>
      <c r="L11" s="44">
        <f>L10*'Critical assumptions'!$B$2</f>
        <v>1353023.9999999998</v>
      </c>
      <c r="M11" s="44">
        <f>M10*'Critical assumptions'!$B$2</f>
        <v>1469663.9999999998</v>
      </c>
      <c r="N11" s="44">
        <f>N10*'Critical assumptions'!$B$2</f>
        <v>1609631.9999999998</v>
      </c>
      <c r="O11" s="44">
        <f>O10*'Critical assumptions'!$B$2</f>
        <v>1749600</v>
      </c>
      <c r="P11" s="44">
        <f>P10*'Critical assumptions'!$B$2</f>
        <v>1912896</v>
      </c>
      <c r="Q11" s="44">
        <f>Q10*'Critical assumptions'!$B$2</f>
        <v>2076192</v>
      </c>
      <c r="R11" s="44">
        <f>R10*'Critical assumptions'!$B$2</f>
        <v>2262816</v>
      </c>
      <c r="S11" s="44">
        <f>S10*'Critical assumptions'!$B$2</f>
        <v>2472767.9999999995</v>
      </c>
      <c r="T11" s="44">
        <f>T10*'Critical assumptions'!$B$2</f>
        <v>2706047.9999999995</v>
      </c>
      <c r="U11" s="44">
        <f>U10*'Critical assumptions'!$B$2</f>
        <v>2939327.9999999995</v>
      </c>
      <c r="V11" s="44">
        <f>V10*'Critical assumptions'!$B$2</f>
        <v>3195936</v>
      </c>
      <c r="W11" s="44">
        <f>W10*'Critical assumptions'!$B$2</f>
        <v>3475872</v>
      </c>
      <c r="X11" s="44">
        <f>X10*'Critical assumptions'!$B$2</f>
        <v>3779135.9999999991</v>
      </c>
      <c r="Y11" s="44">
        <f>Y10*'Critical assumptions'!$B$2</f>
        <v>4129055.9999999991</v>
      </c>
      <c r="Z11" s="44">
        <f>Z10*'Critical assumptions'!$B$2</f>
        <v>4502304</v>
      </c>
      <c r="AA11" s="44">
        <f>AA10*'Critical assumptions'!$B$2</f>
        <v>4898880</v>
      </c>
      <c r="AB11" s="44">
        <f>AB10*'Critical assumptions'!$B$2</f>
        <v>5342112</v>
      </c>
      <c r="AC11" s="44">
        <f>AC10*'Critical assumptions'!$B$2</f>
        <v>5832000</v>
      </c>
      <c r="AD11" s="44">
        <f>AD10*'Critical assumptions'!$B$2</f>
        <v>6368544</v>
      </c>
      <c r="AE11" s="44">
        <f>AE10*'Critical assumptions'!$B$2</f>
        <v>6951744</v>
      </c>
      <c r="AF11" s="44">
        <f>AF10*'Critical assumptions'!$B$2</f>
        <v>7581600</v>
      </c>
      <c r="AG11" s="44">
        <f>AG10*'Critical assumptions'!$B$2</f>
        <v>8258111.9999999981</v>
      </c>
      <c r="AH11" s="44">
        <f>AH10*'Critical assumptions'!$B$2</f>
        <v>9004608</v>
      </c>
      <c r="AI11" s="44">
        <f>AI10*'Critical assumptions'!$B$2</f>
        <v>9821088</v>
      </c>
      <c r="AJ11" s="44">
        <f>AJ10*'Critical assumptions'!$B$2</f>
        <v>10707551.999999998</v>
      </c>
      <c r="AK11" s="44">
        <f>AK10*'Critical assumptions'!$B$2</f>
        <v>11664000</v>
      </c>
      <c r="AL11" s="44">
        <f>AL10*'Critical assumptions'!$B$2</f>
        <v>12713760</v>
      </c>
      <c r="AM11" s="44">
        <f>AM10*'Critical assumptions'!$B$2</f>
        <v>13856832</v>
      </c>
      <c r="AN11" s="44">
        <f>AN10*'Critical assumptions'!$B$2</f>
        <v>15093216</v>
      </c>
      <c r="AO11" s="44">
        <f>AO10*'Critical assumptions'!$B$2</f>
        <v>16446240</v>
      </c>
      <c r="AP11" s="44">
        <f>AP10*'Critical assumptions'!$B$2</f>
        <v>17915903.999999996</v>
      </c>
      <c r="AQ11" s="44">
        <f>AQ10*'Critical assumptions'!$B$2</f>
        <v>19525536</v>
      </c>
    </row>
    <row r="12" spans="1:43" x14ac:dyDescent="0.15">
      <c r="C12" s="44"/>
    </row>
    <row r="13" spans="1:43" x14ac:dyDescent="0.15">
      <c r="A13" s="40" t="s">
        <v>223</v>
      </c>
      <c r="B13" s="40"/>
      <c r="C13" s="100"/>
    </row>
    <row r="14" spans="1:43" x14ac:dyDescent="0.15">
      <c r="A14" s="37" t="s">
        <v>26</v>
      </c>
      <c r="C14" s="43">
        <f>C6*'Critical assumptions'!$B$8</f>
        <v>7290</v>
      </c>
      <c r="D14" s="43">
        <f>D4*'Critical assumptions'!$B$8</f>
        <v>540</v>
      </c>
      <c r="E14" s="43">
        <f>E4*'Critical assumptions'!$B$8</f>
        <v>810</v>
      </c>
      <c r="F14" s="43">
        <f>F4*'Critical assumptions'!$B$8</f>
        <v>810</v>
      </c>
      <c r="G14" s="43">
        <f>G4*'Critical assumptions'!$B$8</f>
        <v>810</v>
      </c>
      <c r="H14" s="43">
        <f>(H4*'Critical assumptions'!$B$8)+(B6*'Critical assumptions'!$B$8)</f>
        <v>810</v>
      </c>
      <c r="I14" s="43">
        <f>(I4*'Critical assumptions'!$B$8)+(C6*'Critical assumptions'!$B$8)</f>
        <v>8370</v>
      </c>
      <c r="J14" s="43">
        <f>(J4*'Critical assumptions'!$B$8)+(D4*'Critical assumptions'!$B$8)</f>
        <v>1620</v>
      </c>
      <c r="K14" s="43">
        <f>(K4*'Critical assumptions'!$B$8)+(E4*'Critical assumptions'!$B$8)</f>
        <v>1890</v>
      </c>
      <c r="L14" s="43">
        <f>(L4*'Critical assumptions'!$B$8)+(F4*'Critical assumptions'!$B$8)-(L5-'Critical assumptions'!$B$8)</f>
        <v>3237</v>
      </c>
      <c r="M14" s="43">
        <f>(M4*'Critical assumptions'!$B$8)+(G4*'Critical assumptions'!$B$8)-(M5-'Critical assumptions'!$B$8)</f>
        <v>3237</v>
      </c>
      <c r="N14" s="43">
        <f>(N4*'Critical assumptions'!$B$8)+(H4*'Critical assumptions'!$B$8)-(N5-'Critical assumptions'!$B$8)</f>
        <v>3507</v>
      </c>
      <c r="O14" s="43">
        <f>(O4*'Critical assumptions'!$B$8)+($C$6*'Critical assumptions'!$B$8)-(O5*'Critical assumptions'!$B$8)</f>
        <v>8910</v>
      </c>
      <c r="P14" s="43">
        <f>(P4*'Critical assumptions'!$B$8)+(J4*'Critical assumptions'!$B$8)-(P5-'Critical assumptions'!$B$8)</f>
        <v>4316</v>
      </c>
      <c r="Q14" s="43">
        <f>(Q4*'Critical assumptions'!$B$8)+(K4*'Critical assumptions'!$B$8)-(Q5-'Critical assumptions'!$B$8)</f>
        <v>4316</v>
      </c>
      <c r="R14" s="43">
        <f>(R4*'Critical assumptions'!$B$8)+(L4*'Critical assumptions'!$B$8)-(R5-'Critical assumptions'!$B$8)</f>
        <v>5666</v>
      </c>
      <c r="S14" s="43">
        <f>(S4*'Critical assumptions'!$B$8)+(M4*'Critical assumptions'!$B$8)-(S5-'Critical assumptions'!$B$8)</f>
        <v>6205</v>
      </c>
      <c r="T14" s="43">
        <f>(T4*'Critical assumptions'!$B$8)+(N4*'Critical assumptions'!$B$8)-(T5-'Critical assumptions'!$B$8)</f>
        <v>6745</v>
      </c>
      <c r="U14" s="43">
        <f>(U4*'Critical assumptions'!$B$8)+($C$6*'Critical assumptions'!$B$8)-(U5*'Critical assumptions'!$B$8)</f>
        <v>9990</v>
      </c>
      <c r="V14" s="43">
        <f>(V4*'Critical assumptions'!$B$8)+(P4*'Critical assumptions'!$B$8)-(V5-'Critical assumptions'!$B$8)</f>
        <v>7824</v>
      </c>
      <c r="W14" s="43">
        <f>(W4*'Critical assumptions'!$B$8)+(Q4*'Critical assumptions'!$B$8)-(W5-'Critical assumptions'!$B$8)</f>
        <v>8094</v>
      </c>
      <c r="X14" s="43">
        <f>(X4*'Critical assumptions'!$B$8)+(R4*'Critical assumptions'!$B$8)-(X5-'Critical assumptions'!$B$8)</f>
        <v>8903</v>
      </c>
      <c r="Y14" s="43">
        <f>(Y4*'Critical assumptions'!$B$8)+(S4*'Critical assumptions'!$B$8)-(Y5-'Critical assumptions'!$B$8)</f>
        <v>10252</v>
      </c>
      <c r="Z14" s="43">
        <f>(Z4*'Critical assumptions'!$B$8)+(T4*'Critical assumptions'!$B$8)-(Z5-'Critical assumptions'!$B$8)</f>
        <v>10792</v>
      </c>
      <c r="AA14" s="43">
        <f>(AA4*'Critical assumptions'!$B$8)+($C$6*'Critical assumptions'!$B$8)-(AA5*'Critical assumptions'!$B$8)</f>
        <v>11880</v>
      </c>
      <c r="AB14" s="43">
        <f>(AB4*'Critical assumptions'!$B$8)+(V4*'Critical assumptions'!$B$8)-(AB5-'Critical assumptions'!$B$8)</f>
        <v>12680</v>
      </c>
      <c r="AC14" s="43">
        <f>(AC4*'Critical assumptions'!$B$8)+(W4*'Critical assumptions'!$B$8)-(AC5-'Critical assumptions'!$B$8)</f>
        <v>13759</v>
      </c>
      <c r="AD14" s="43">
        <f>(AD4*'Critical assumptions'!$B$8)+(X4*'Critical assumptions'!$B$8)-(AD5-'Critical assumptions'!$B$8)</f>
        <v>15108</v>
      </c>
      <c r="AE14" s="43">
        <f>(AE4*'Critical assumptions'!$B$8)+(Y4*'Critical assumptions'!$B$8)-(AE5-'Critical assumptions'!$B$8)</f>
        <v>16727</v>
      </c>
      <c r="AF14" s="43">
        <f>(AF4*'Critical assumptions'!$B$8)+(Z4*'Critical assumptions'!$B$8)-(AF5-'Critical assumptions'!$B$8)</f>
        <v>17806</v>
      </c>
      <c r="AG14" s="43">
        <f>(AG4*'Critical assumptions'!$B$8)+($C$6*'Critical assumptions'!$B$8)-(AG5*'Critical assumptions'!$B$8)</f>
        <v>15120</v>
      </c>
      <c r="AH14" s="43">
        <f>(AH4*'Critical assumptions'!$B$8)+(AB4*'Critical assumptions'!$B$8)-(AH5-'Critical assumptions'!$B$8)</f>
        <v>21044</v>
      </c>
      <c r="AI14" s="43">
        <f>(AI4*'Critical assumptions'!$B$8)+(AC4*'Critical assumptions'!$B$8)-(AI5-'Critical assumptions'!$B$8)</f>
        <v>23202</v>
      </c>
      <c r="AJ14" s="43">
        <f>(AJ4*'Critical assumptions'!$B$8)+(AD4*'Critical assumptions'!$B$8)-(AJ5-'Critical assumptions'!$B$8)</f>
        <v>25091</v>
      </c>
      <c r="AK14" s="43">
        <f>(AK4*'Critical assumptions'!$B$8)+(AE4*'Critical assumptions'!$B$8)-(AK5-'Critical assumptions'!$B$8)</f>
        <v>27249</v>
      </c>
      <c r="AL14" s="43">
        <f>(AL4*'Critical assumptions'!$B$8)+(AF4*'Critical assumptions'!$B$8)-(AL5-'Critical assumptions'!$B$8)</f>
        <v>29677</v>
      </c>
      <c r="AM14" s="43">
        <f>(AM4*'Critical assumptions'!$B$8)+($C$6*'Critical assumptions'!$B$8)-(AM5*'Critical assumptions'!$B$8)</f>
        <v>20520</v>
      </c>
      <c r="AN14" s="43">
        <f>(AN4*'Critical assumptions'!$B$8)+(AH4*'Critical assumptions'!$B$8)-(AN5-'Critical assumptions'!$B$8)</f>
        <v>34803</v>
      </c>
      <c r="AO14" s="43">
        <f>(AO4*'Critical assumptions'!$B$8)+(AI4*'Critical assumptions'!$B$8)-(AO5-'Critical assumptions'!$B$8)</f>
        <v>38310</v>
      </c>
      <c r="AP14" s="43">
        <f>(AP4*'Critical assumptions'!$B$8)+(AJ4*'Critical assumptions'!$B$8)-(AP5-'Critical assumptions'!$B$8)</f>
        <v>41547</v>
      </c>
      <c r="AQ14" s="43">
        <f>(AQ4*'Critical assumptions'!$B$8)+(AK4*'Critical assumptions'!$B$8)-(AQ5-'Critical assumptions'!$B$8)</f>
        <v>45055</v>
      </c>
    </row>
    <row r="15" spans="1:43" s="44" customFormat="1" x14ac:dyDescent="0.15">
      <c r="A15" s="44" t="s">
        <v>33</v>
      </c>
      <c r="J15" s="44">
        <f>J11*'Critical assumptions'!$B$9</f>
        <v>91445.759999999995</v>
      </c>
      <c r="K15" s="44">
        <f>K11*'Critical assumptions'!$B$9</f>
        <v>98910.719999999987</v>
      </c>
      <c r="L15" s="44">
        <f>L11*'Critical assumptions'!$B$9</f>
        <v>108241.91999999998</v>
      </c>
      <c r="M15" s="44">
        <f>M11*'Critical assumptions'!$B$9</f>
        <v>117573.11999999998</v>
      </c>
      <c r="N15" s="44">
        <f>N11*'Critical assumptions'!$B$9</f>
        <v>128770.55999999998</v>
      </c>
      <c r="O15" s="44">
        <f>O11*'Critical assumptions'!$B$9</f>
        <v>139968</v>
      </c>
      <c r="P15" s="44">
        <f>P11*'Critical assumptions'!$B$9</f>
        <v>153031.67999999999</v>
      </c>
      <c r="Q15" s="44">
        <f>Q11*'Critical assumptions'!$B$9</f>
        <v>166095.36000000002</v>
      </c>
      <c r="R15" s="44">
        <f>R11*'Critical assumptions'!$B$9</f>
        <v>181025.28</v>
      </c>
      <c r="S15" s="44">
        <f>S11*'Critical assumptions'!$B$9</f>
        <v>197821.43999999997</v>
      </c>
      <c r="T15" s="44">
        <f>T11*'Critical assumptions'!$B$9</f>
        <v>216483.83999999997</v>
      </c>
      <c r="U15" s="44">
        <f>U11*'Critical assumptions'!$B$9</f>
        <v>235146.23999999996</v>
      </c>
      <c r="V15" s="44">
        <f>V11*'Critical assumptions'!$B$9</f>
        <v>255674.88</v>
      </c>
      <c r="W15" s="44">
        <f>W11*'Critical assumptions'!$B$9</f>
        <v>278069.76000000001</v>
      </c>
      <c r="X15" s="44">
        <f>X11*'Critical assumptions'!$B$9</f>
        <v>302330.87999999995</v>
      </c>
      <c r="Y15" s="44">
        <f>Y11*'Critical assumptions'!$B$9</f>
        <v>330324.47999999992</v>
      </c>
      <c r="Z15" s="44">
        <f>Z11*'Critical assumptions'!$B$9</f>
        <v>360184.32000000001</v>
      </c>
      <c r="AA15" s="44">
        <f>AA11*'Critical assumptions'!$B$9</f>
        <v>391910.40000000002</v>
      </c>
      <c r="AB15" s="44">
        <f>AB11*'Critical assumptions'!$B$9</f>
        <v>427368.96000000002</v>
      </c>
      <c r="AC15" s="44">
        <f>AC11*'Critical assumptions'!$B$9</f>
        <v>466560</v>
      </c>
      <c r="AD15" s="44">
        <f>AD11*'Critical assumptions'!$B$9</f>
        <v>509483.52000000002</v>
      </c>
      <c r="AE15" s="44">
        <f>AE11*'Critical assumptions'!$B$9</f>
        <v>556139.52000000002</v>
      </c>
      <c r="AF15" s="44">
        <f>AF11*'Critical assumptions'!$B$9</f>
        <v>606528</v>
      </c>
      <c r="AG15" s="44">
        <f>AG11*'Critical assumptions'!$B$9</f>
        <v>660648.95999999985</v>
      </c>
      <c r="AH15" s="44">
        <f>AH11*'Critical assumptions'!$B$9</f>
        <v>720368.64000000001</v>
      </c>
      <c r="AI15" s="44">
        <f>AI11*'Critical assumptions'!$B$9</f>
        <v>785687.04000000004</v>
      </c>
      <c r="AJ15" s="44">
        <f>AJ11*'Critical assumptions'!$B$9</f>
        <v>856604.15999999992</v>
      </c>
      <c r="AK15" s="44">
        <f>AK11*'Critical assumptions'!$B$9</f>
        <v>933120</v>
      </c>
      <c r="AL15" s="44">
        <f>AL11*'Critical assumptions'!$B$9</f>
        <v>1017100.8</v>
      </c>
      <c r="AM15" s="44">
        <f>AM11*'Critical assumptions'!$B$9</f>
        <v>1108546.5600000001</v>
      </c>
      <c r="AN15" s="44">
        <f>AN11*'Critical assumptions'!$B$9</f>
        <v>1207457.28</v>
      </c>
      <c r="AO15" s="44">
        <f>AO11*'Critical assumptions'!$B$9</f>
        <v>1315699.2</v>
      </c>
      <c r="AP15" s="44">
        <f>AP11*'Critical assumptions'!$B$9</f>
        <v>1433272.3199999998</v>
      </c>
      <c r="AQ15" s="44">
        <f>AQ11*'Critical assumptions'!$B$9</f>
        <v>1562042.8800000001</v>
      </c>
    </row>
    <row r="16" spans="1:43" s="44" customFormat="1" x14ac:dyDescent="0.15">
      <c r="A16" s="44" t="s">
        <v>250</v>
      </c>
      <c r="J16" s="44">
        <f>'Critical assumptions'!$B$14*'Critical assumptions'!$B$15</f>
        <v>2000</v>
      </c>
      <c r="K16" s="44">
        <f>'Critical assumptions'!$B$14*'Critical assumptions'!$B$15</f>
        <v>2000</v>
      </c>
      <c r="L16" s="44">
        <f>'Critical assumptions'!$B$14*'Critical assumptions'!$B$15</f>
        <v>2000</v>
      </c>
      <c r="M16" s="44">
        <f>'Critical assumptions'!$B$14*'Critical assumptions'!$B$15</f>
        <v>2000</v>
      </c>
      <c r="N16" s="44">
        <f>'Critical assumptions'!$B$14*'Critical assumptions'!$B$15</f>
        <v>2000</v>
      </c>
      <c r="O16" s="44">
        <f>'Critical assumptions'!$B$14*'Critical assumptions'!$B$15</f>
        <v>2000</v>
      </c>
      <c r="P16" s="44">
        <f>'Critical assumptions'!$B$14*'Critical assumptions'!$B$15</f>
        <v>2000</v>
      </c>
      <c r="Q16" s="44">
        <f>'Critical assumptions'!$B$14*'Critical assumptions'!$B$15</f>
        <v>2000</v>
      </c>
      <c r="R16" s="44">
        <f>'Critical assumptions'!$B$14*'Critical assumptions'!$B$15</f>
        <v>2000</v>
      </c>
      <c r="S16" s="44">
        <f>'Critical assumptions'!$B$14*'Critical assumptions'!$B$15</f>
        <v>2000</v>
      </c>
      <c r="T16" s="44">
        <f>'Critical assumptions'!$B$14*'Critical assumptions'!$B$15</f>
        <v>2000</v>
      </c>
      <c r="U16" s="44">
        <f>'Critical assumptions'!$B$14*'Critical assumptions'!$B$15</f>
        <v>2000</v>
      </c>
      <c r="V16" s="44">
        <f>'Critical assumptions'!$B$14*'Critical assumptions'!$B$15</f>
        <v>2000</v>
      </c>
      <c r="W16" s="44">
        <f>'Critical assumptions'!$B$14*'Critical assumptions'!$B$15</f>
        <v>2000</v>
      </c>
      <c r="X16" s="44">
        <f>'Critical assumptions'!$B$14*'Critical assumptions'!$B$15</f>
        <v>2000</v>
      </c>
      <c r="Y16" s="44">
        <f>'Critical assumptions'!$B$14*'Critical assumptions'!$B$15</f>
        <v>2000</v>
      </c>
      <c r="Z16" s="44">
        <f>'Critical assumptions'!$B$14*'Critical assumptions'!$B$15</f>
        <v>2000</v>
      </c>
      <c r="AA16" s="44">
        <f>'Critical assumptions'!$B$14*'Critical assumptions'!$B$15</f>
        <v>2000</v>
      </c>
      <c r="AB16" s="44">
        <f>'Critical assumptions'!$B$14*'Critical assumptions'!$B$15</f>
        <v>2000</v>
      </c>
      <c r="AC16" s="44">
        <f>'Critical assumptions'!$B$14*'Critical assumptions'!$B$15</f>
        <v>2000</v>
      </c>
      <c r="AD16" s="44">
        <f>'Critical assumptions'!$B$14*'Critical assumptions'!$B$15</f>
        <v>2000</v>
      </c>
      <c r="AE16" s="44">
        <f>'Critical assumptions'!$B$14*'Critical assumptions'!$B$15</f>
        <v>2000</v>
      </c>
      <c r="AF16" s="44">
        <f>'Critical assumptions'!$B$14*'Critical assumptions'!$B$15</f>
        <v>2000</v>
      </c>
      <c r="AG16" s="44">
        <f>'Critical assumptions'!$B$14*'Critical assumptions'!$B$15</f>
        <v>2000</v>
      </c>
      <c r="AH16" s="44">
        <f>'Critical assumptions'!$B$14*'Critical assumptions'!$B$15</f>
        <v>2000</v>
      </c>
      <c r="AI16" s="44">
        <f>'Critical assumptions'!$B$14*'Critical assumptions'!$B$15</f>
        <v>2000</v>
      </c>
      <c r="AJ16" s="44">
        <f>'Critical assumptions'!$B$14*'Critical assumptions'!$B$15</f>
        <v>2000</v>
      </c>
      <c r="AK16" s="44">
        <f>'Critical assumptions'!$B$14*'Critical assumptions'!$B$15</f>
        <v>2000</v>
      </c>
      <c r="AL16" s="44">
        <f>'Critical assumptions'!$B$14*'Critical assumptions'!$B$15</f>
        <v>2000</v>
      </c>
      <c r="AM16" s="44">
        <f>'Critical assumptions'!$B$14*'Critical assumptions'!$B$15</f>
        <v>2000</v>
      </c>
      <c r="AN16" s="44">
        <f>'Critical assumptions'!$B$14*'Critical assumptions'!$B$15</f>
        <v>2000</v>
      </c>
      <c r="AO16" s="44">
        <f>'Critical assumptions'!$B$14*'Critical assumptions'!$B$15</f>
        <v>2000</v>
      </c>
      <c r="AP16" s="44">
        <f>'Critical assumptions'!$B$14*'Critical assumptions'!$B$15</f>
        <v>2000</v>
      </c>
      <c r="AQ16" s="44">
        <f>'Critical assumptions'!$B$14*'Critical assumptions'!$B$15</f>
        <v>2000</v>
      </c>
    </row>
    <row r="17" spans="1:43" s="101" customFormat="1" ht="14" thickBot="1" x14ac:dyDescent="0.2">
      <c r="A17" s="69" t="s">
        <v>76</v>
      </c>
      <c r="B17" s="69"/>
      <c r="C17" s="69">
        <f>SUM(C14:C16)</f>
        <v>7290</v>
      </c>
      <c r="D17" s="69">
        <f t="shared" ref="D17:AQ17" si="33">SUM(D14:D16)</f>
        <v>540</v>
      </c>
      <c r="E17" s="69">
        <f t="shared" si="33"/>
        <v>810</v>
      </c>
      <c r="F17" s="69">
        <f t="shared" si="33"/>
        <v>810</v>
      </c>
      <c r="G17" s="69">
        <f t="shared" si="33"/>
        <v>810</v>
      </c>
      <c r="H17" s="69">
        <f t="shared" si="33"/>
        <v>810</v>
      </c>
      <c r="I17" s="69">
        <f t="shared" si="33"/>
        <v>8370</v>
      </c>
      <c r="J17" s="69">
        <f t="shared" si="33"/>
        <v>95065.76</v>
      </c>
      <c r="K17" s="69">
        <f t="shared" si="33"/>
        <v>102800.71999999999</v>
      </c>
      <c r="L17" s="69">
        <f t="shared" si="33"/>
        <v>113478.91999999998</v>
      </c>
      <c r="M17" s="69">
        <f t="shared" si="33"/>
        <v>122810.11999999998</v>
      </c>
      <c r="N17" s="69">
        <f t="shared" si="33"/>
        <v>134277.56</v>
      </c>
      <c r="O17" s="69">
        <f t="shared" si="33"/>
        <v>150878</v>
      </c>
      <c r="P17" s="69">
        <f t="shared" si="33"/>
        <v>159347.68</v>
      </c>
      <c r="Q17" s="69">
        <f t="shared" si="33"/>
        <v>172411.36000000002</v>
      </c>
      <c r="R17" s="69">
        <f t="shared" si="33"/>
        <v>188691.28</v>
      </c>
      <c r="S17" s="69">
        <f t="shared" si="33"/>
        <v>206026.43999999997</v>
      </c>
      <c r="T17" s="69">
        <f t="shared" si="33"/>
        <v>225228.83999999997</v>
      </c>
      <c r="U17" s="69">
        <f t="shared" si="33"/>
        <v>247136.23999999996</v>
      </c>
      <c r="V17" s="69">
        <f t="shared" si="33"/>
        <v>265498.88</v>
      </c>
      <c r="W17" s="69">
        <f t="shared" si="33"/>
        <v>288163.76</v>
      </c>
      <c r="X17" s="69">
        <f t="shared" si="33"/>
        <v>313233.87999999995</v>
      </c>
      <c r="Y17" s="69">
        <f t="shared" si="33"/>
        <v>342576.47999999992</v>
      </c>
      <c r="Z17" s="69">
        <f t="shared" si="33"/>
        <v>372976.32</v>
      </c>
      <c r="AA17" s="69">
        <f t="shared" si="33"/>
        <v>405790.4</v>
      </c>
      <c r="AB17" s="69">
        <f t="shared" si="33"/>
        <v>442048.96</v>
      </c>
      <c r="AC17" s="69">
        <f t="shared" si="33"/>
        <v>482319</v>
      </c>
      <c r="AD17" s="69">
        <f t="shared" si="33"/>
        <v>526591.52</v>
      </c>
      <c r="AE17" s="69">
        <f t="shared" si="33"/>
        <v>574866.52</v>
      </c>
      <c r="AF17" s="69">
        <f t="shared" si="33"/>
        <v>626334</v>
      </c>
      <c r="AG17" s="69">
        <f t="shared" si="33"/>
        <v>677768.95999999985</v>
      </c>
      <c r="AH17" s="69">
        <f t="shared" si="33"/>
        <v>743412.64</v>
      </c>
      <c r="AI17" s="69">
        <f t="shared" si="33"/>
        <v>810889.04</v>
      </c>
      <c r="AJ17" s="69">
        <f t="shared" si="33"/>
        <v>883695.15999999992</v>
      </c>
      <c r="AK17" s="69">
        <f t="shared" si="33"/>
        <v>962369</v>
      </c>
      <c r="AL17" s="69">
        <f t="shared" si="33"/>
        <v>1048777.8</v>
      </c>
      <c r="AM17" s="69">
        <f t="shared" si="33"/>
        <v>1131066.56</v>
      </c>
      <c r="AN17" s="69">
        <f t="shared" si="33"/>
        <v>1244260.28</v>
      </c>
      <c r="AO17" s="69">
        <f t="shared" si="33"/>
        <v>1356009.2</v>
      </c>
      <c r="AP17" s="69">
        <f t="shared" si="33"/>
        <v>1476819.3199999998</v>
      </c>
      <c r="AQ17" s="69">
        <f t="shared" si="33"/>
        <v>1609097.8800000001</v>
      </c>
    </row>
    <row r="18" spans="1:43" ht="14" thickTop="1" x14ac:dyDescent="0.15"/>
    <row r="19" spans="1:43" x14ac:dyDescent="0.15">
      <c r="A19" s="102" t="s">
        <v>77</v>
      </c>
      <c r="B19" s="102"/>
    </row>
    <row r="20" spans="1:43" x14ac:dyDescent="0.15">
      <c r="A20" s="103" t="s">
        <v>26</v>
      </c>
      <c r="B20" s="103"/>
    </row>
    <row r="21" spans="1:43" x14ac:dyDescent="0.15">
      <c r="A21" s="37" t="s">
        <v>78</v>
      </c>
      <c r="C21" s="43">
        <f>C14*'Critical assumptions'!$B$10</f>
        <v>1093.5</v>
      </c>
      <c r="D21" s="43">
        <f>D14*'Critical assumptions'!$B$10</f>
        <v>81</v>
      </c>
      <c r="E21" s="43">
        <f>E14*'Critical assumptions'!$B$10</f>
        <v>121.5</v>
      </c>
      <c r="F21" s="43">
        <f>F14*'Critical assumptions'!$B$10</f>
        <v>121.5</v>
      </c>
      <c r="G21" s="43">
        <f>G14*'Critical assumptions'!$B$10</f>
        <v>121.5</v>
      </c>
      <c r="H21" s="43">
        <f>H14*'Critical assumptions'!$B$10</f>
        <v>121.5</v>
      </c>
      <c r="I21" s="43">
        <f>I14*'Critical assumptions'!$B$10</f>
        <v>1255.5</v>
      </c>
      <c r="J21" s="43">
        <f>J14*'Critical assumptions'!$B$10</f>
        <v>243</v>
      </c>
      <c r="K21" s="43">
        <f>K14*'Critical assumptions'!$B$10</f>
        <v>283.5</v>
      </c>
      <c r="L21" s="43">
        <f>L14*'Critical assumptions'!$B$10</f>
        <v>485.54999999999995</v>
      </c>
      <c r="M21" s="43">
        <f>M14*'Critical assumptions'!$B$10</f>
        <v>485.54999999999995</v>
      </c>
      <c r="N21" s="43">
        <f>N14*'Critical assumptions'!$B$10</f>
        <v>526.04999999999995</v>
      </c>
      <c r="O21" s="43">
        <f>O14*'Critical assumptions'!$B$10</f>
        <v>1336.5</v>
      </c>
      <c r="P21" s="43">
        <f>P14*'Critical assumptions'!$B$10</f>
        <v>647.4</v>
      </c>
      <c r="Q21" s="43">
        <f>Q14*'Critical assumptions'!$B$10</f>
        <v>647.4</v>
      </c>
      <c r="R21" s="43">
        <f>R14*'Critical assumptions'!$B$10</f>
        <v>849.9</v>
      </c>
      <c r="S21" s="43">
        <f>S14*'Critical assumptions'!$B$10</f>
        <v>930.75</v>
      </c>
      <c r="T21" s="43">
        <f>T14*'Critical assumptions'!$B$10</f>
        <v>1011.75</v>
      </c>
      <c r="U21" s="43">
        <f>U14*'Critical assumptions'!$B$10</f>
        <v>1498.5</v>
      </c>
      <c r="V21" s="43">
        <f>V14*'Critical assumptions'!$B$10</f>
        <v>1173.5999999999999</v>
      </c>
      <c r="W21" s="43">
        <f>W14*'Critical assumptions'!$B$10</f>
        <v>1214.0999999999999</v>
      </c>
      <c r="X21" s="43">
        <f>X14*'Critical assumptions'!$B$10</f>
        <v>1335.45</v>
      </c>
      <c r="Y21" s="43">
        <f>Y14*'Critical assumptions'!$B$10</f>
        <v>1537.8</v>
      </c>
      <c r="Z21" s="43">
        <f>Z14*'Critical assumptions'!$B$10</f>
        <v>1618.8</v>
      </c>
      <c r="AA21" s="43">
        <f>AA14*'Critical assumptions'!$B$10</f>
        <v>1782</v>
      </c>
      <c r="AB21" s="43">
        <f>AB14*'Critical assumptions'!$B$10</f>
        <v>1902</v>
      </c>
      <c r="AC21" s="43">
        <f>AC14*'Critical assumptions'!$B$10</f>
        <v>2063.85</v>
      </c>
      <c r="AD21" s="43">
        <f>AD14*'Critical assumptions'!$B$10</f>
        <v>2266.1999999999998</v>
      </c>
      <c r="AE21" s="43">
        <f>AE14*'Critical assumptions'!$B$10</f>
        <v>2509.0499999999997</v>
      </c>
      <c r="AF21" s="43">
        <f>AF14*'Critical assumptions'!$B$10</f>
        <v>2670.9</v>
      </c>
      <c r="AG21" s="43">
        <f>AG14*'Critical assumptions'!$B$10</f>
        <v>2268</v>
      </c>
      <c r="AH21" s="43">
        <f>AH14*'Critical assumptions'!$B$10</f>
        <v>3156.6</v>
      </c>
      <c r="AI21" s="43">
        <f>AI14*'Critical assumptions'!$B$10</f>
        <v>3480.2999999999997</v>
      </c>
      <c r="AJ21" s="43">
        <f>AJ14*'Critical assumptions'!$B$10</f>
        <v>3763.6499999999996</v>
      </c>
      <c r="AK21" s="43">
        <f>AK14*'Critical assumptions'!$B$10</f>
        <v>4087.35</v>
      </c>
      <c r="AL21" s="43">
        <f>AL14*'Critical assumptions'!$B$10</f>
        <v>4451.55</v>
      </c>
      <c r="AM21" s="43">
        <f>AM14*'Critical assumptions'!$B$10</f>
        <v>3078</v>
      </c>
      <c r="AN21" s="43">
        <f>AN14*'Critical assumptions'!$B$10</f>
        <v>5220.45</v>
      </c>
      <c r="AO21" s="43">
        <f>AO14*'Critical assumptions'!$B$10</f>
        <v>5746.5</v>
      </c>
      <c r="AP21" s="43">
        <f>AP14*'Critical assumptions'!$B$10</f>
        <v>6232.05</v>
      </c>
      <c r="AQ21" s="43">
        <f>AQ14*'Critical assumptions'!$B$10</f>
        <v>6758.25</v>
      </c>
    </row>
    <row r="22" spans="1:43" x14ac:dyDescent="0.15">
      <c r="A22" s="37" t="s">
        <v>79</v>
      </c>
      <c r="C22" s="43">
        <f>(C14*'Critical assumptions'!$B$11)+(C6*1)</f>
        <v>172.80000000000004</v>
      </c>
      <c r="D22" s="43">
        <f>(D14*'Critical assumptions'!$B$11)+(D4*1)</f>
        <v>12.800000000000002</v>
      </c>
      <c r="E22" s="43">
        <f>(E14*'Critical assumptions'!$B$11)+(E4*1)</f>
        <v>19.200000000000003</v>
      </c>
      <c r="F22" s="43">
        <f>(F14*'Critical assumptions'!$B$11)+(F4*1)</f>
        <v>19.200000000000003</v>
      </c>
      <c r="G22" s="43">
        <f>(G14*'Critical assumptions'!$B$11)+(G4*1)</f>
        <v>19.200000000000003</v>
      </c>
      <c r="H22" s="43">
        <f>(H14*'Critical assumptions'!$B$11)+(H4*1)</f>
        <v>19.200000000000003</v>
      </c>
      <c r="I22" s="43">
        <f>(I14*'Critical assumptions'!$B$11)+((I4+$C$6-I5)*1)</f>
        <v>198.40000000000003</v>
      </c>
      <c r="J22" s="43">
        <f>(J14*'Critical assumptions'!$B$11)+(J4*1)</f>
        <v>36.400000000000006</v>
      </c>
      <c r="K22" s="43">
        <f>(K14*'Critical assumptions'!$B$11)+(K4*1)</f>
        <v>41.800000000000004</v>
      </c>
      <c r="L22" s="43">
        <f>(L14*'Critical assumptions'!$B$11)+((L4-L5)*1)</f>
        <v>69.740000000000009</v>
      </c>
      <c r="M22" s="43">
        <f>(M14*'Critical assumptions'!$B$11)+((M4-M5)*1)</f>
        <v>69.740000000000009</v>
      </c>
      <c r="N22" s="43">
        <f>(N14*'Critical assumptions'!$B$11)+((N4-N5)*1)</f>
        <v>76.140000000000015</v>
      </c>
      <c r="O22" s="43">
        <f>(O14*'Critical assumptions'!$B$11)+((O4+$C$6-O5)*1)</f>
        <v>211.20000000000005</v>
      </c>
      <c r="P22" s="43">
        <f>(P14*'Critical assumptions'!$B$11)+((P4-P5)*1)</f>
        <v>93.320000000000022</v>
      </c>
      <c r="Q22" s="43">
        <f>(Q14*'Critical assumptions'!$B$11)+((Q4-Q5)*1)</f>
        <v>93.320000000000022</v>
      </c>
      <c r="R22" s="43">
        <f>(R14*'Critical assumptions'!$B$11)+((R4-R5)*1)</f>
        <v>121.32000000000002</v>
      </c>
      <c r="S22" s="43">
        <f>(S14*'Critical assumptions'!$B$11)+((S4-S5)*1)</f>
        <v>133.10000000000002</v>
      </c>
      <c r="T22" s="43">
        <f>(T14*'Critical assumptions'!$B$11)+((T4-T5)*1)</f>
        <v>144.90000000000003</v>
      </c>
      <c r="U22" s="43">
        <f>(U14*'Critical assumptions'!$B$11)+((U4+$C$6-U5)*1)</f>
        <v>236.80000000000004</v>
      </c>
      <c r="V22" s="43">
        <f>(V14*'Critical assumptions'!$B$11)+((V4-V5)*1)</f>
        <v>167.48000000000002</v>
      </c>
      <c r="W22" s="43">
        <f>(W14*'Critical assumptions'!$B$11)+((W4-W5)*1)</f>
        <v>173.88000000000002</v>
      </c>
      <c r="X22" s="43">
        <f>(X14*'Critical assumptions'!$B$11)+((X4-X5)*1)</f>
        <v>191.06000000000003</v>
      </c>
      <c r="Y22" s="43">
        <f>(Y14*'Critical assumptions'!$B$11)+((Y4-Y5)*1)</f>
        <v>220.04000000000005</v>
      </c>
      <c r="Z22" s="43">
        <f>(Z14*'Critical assumptions'!$B$11)+((Z4-Z5)*1)</f>
        <v>231.84000000000003</v>
      </c>
      <c r="AA22" s="43">
        <f>(AA14*'Critical assumptions'!$B$11)+((AA4+$C$6-AA5)*1)</f>
        <v>281.60000000000002</v>
      </c>
      <c r="AB22" s="43">
        <f>(AB14*'Critical assumptions'!$B$11)+((AB4-AB5)*1)</f>
        <v>272.60000000000002</v>
      </c>
      <c r="AC22" s="43">
        <f>(AC14*'Critical assumptions'!$B$11)+((AC4-AC5)*1)</f>
        <v>296.18000000000006</v>
      </c>
      <c r="AD22" s="43">
        <f>(AD14*'Critical assumptions'!$B$11)+((AD4-AD5)*1)</f>
        <v>325.16000000000008</v>
      </c>
      <c r="AE22" s="43">
        <f>(AE14*'Critical assumptions'!$B$11)+((AE4-AE5)*1)</f>
        <v>359.54000000000008</v>
      </c>
      <c r="AF22" s="43">
        <f>(AF14*'Critical assumptions'!$B$11)+((AF4-AF5)*1)</f>
        <v>383.12000000000006</v>
      </c>
      <c r="AG22" s="43">
        <f>(AG14*'Critical assumptions'!$B$11)+((AG4+$C$6-AG5)*1)</f>
        <v>358.40000000000003</v>
      </c>
      <c r="AH22" s="43">
        <f>(AH14*'Critical assumptions'!$B$11)+((AH4-AH5)*1)</f>
        <v>452.88000000000011</v>
      </c>
      <c r="AI22" s="43">
        <f>(AI14*'Critical assumptions'!$B$11)+((AI4-AI5)*1)</f>
        <v>499.04000000000008</v>
      </c>
      <c r="AJ22" s="43">
        <f>(AJ14*'Critical assumptions'!$B$11)+((AJ4-AJ5)*1)</f>
        <v>539.82000000000016</v>
      </c>
      <c r="AK22" s="43">
        <f>(AK14*'Critical assumptions'!$B$11)+((AK4-AK5)*1)</f>
        <v>585.98000000000013</v>
      </c>
      <c r="AL22" s="43">
        <f>(AL14*'Critical assumptions'!$B$11)+((AL4-AL5)*1)</f>
        <v>638.54000000000008</v>
      </c>
      <c r="AM22" s="43">
        <f>(AM14*'Critical assumptions'!$B$11)+((AM4+$C$6-AM5)*1)</f>
        <v>486.40000000000009</v>
      </c>
      <c r="AN22" s="43">
        <f>(AN14*'Critical assumptions'!$B$11)+((AN4-AN5)*1)</f>
        <v>749.06000000000017</v>
      </c>
      <c r="AO22" s="43">
        <f>(AO14*'Critical assumptions'!$B$11)+((AO4-AO5)*1)</f>
        <v>824.20000000000016</v>
      </c>
      <c r="AP22" s="43">
        <f>(AP14*'Critical assumptions'!$B$11)+((AP4-AP5)*1)</f>
        <v>893.94000000000017</v>
      </c>
      <c r="AQ22" s="43">
        <f>(AQ14*'Critical assumptions'!$B$11)+((AQ4-AQ5)*1)</f>
        <v>970.10000000000014</v>
      </c>
    </row>
    <row r="23" spans="1:43" x14ac:dyDescent="0.15">
      <c r="A23" s="37" t="s">
        <v>80</v>
      </c>
      <c r="C23" s="105">
        <f>'Critical assumptions'!$B$13*C4</f>
        <v>200</v>
      </c>
      <c r="D23" s="105">
        <f>'Critical assumptions'!$B$13*D4</f>
        <v>200</v>
      </c>
      <c r="E23" s="105">
        <f>'Critical assumptions'!$B$13*E4</f>
        <v>300</v>
      </c>
      <c r="F23" s="105">
        <f>'Critical assumptions'!$B$13*F4</f>
        <v>300</v>
      </c>
      <c r="G23" s="105">
        <f>'Critical assumptions'!$B$13*G4</f>
        <v>300</v>
      </c>
      <c r="H23" s="105">
        <f>'Critical assumptions'!$B$13*H4</f>
        <v>300</v>
      </c>
      <c r="I23" s="105">
        <f>'Critical assumptions'!$B$13*I4</f>
        <v>400</v>
      </c>
      <c r="J23" s="105">
        <f>'Critical assumptions'!$B$13*J4</f>
        <v>400</v>
      </c>
      <c r="K23" s="105">
        <f>'Critical assumptions'!$B$13*K4</f>
        <v>400</v>
      </c>
      <c r="L23" s="105">
        <f>'Critical assumptions'!$B$13*L4</f>
        <v>800</v>
      </c>
      <c r="M23" s="105">
        <f>'Critical assumptions'!$B$13*M4</f>
        <v>800</v>
      </c>
      <c r="N23" s="105">
        <f>'Critical assumptions'!$B$13*N4</f>
        <v>900</v>
      </c>
      <c r="O23" s="105">
        <f>'Critical assumptions'!$B$13*O4</f>
        <v>900</v>
      </c>
      <c r="P23" s="105">
        <f>'Critical assumptions'!$B$13*P4</f>
        <v>1100</v>
      </c>
      <c r="Q23" s="105">
        <f>'Critical assumptions'!$B$13*Q4</f>
        <v>1100</v>
      </c>
      <c r="R23" s="105">
        <f>'Critical assumptions'!$B$13*R4</f>
        <v>1200</v>
      </c>
      <c r="S23" s="105">
        <f>'Critical assumptions'!$B$13*S4</f>
        <v>1400</v>
      </c>
      <c r="T23" s="105">
        <f>'Critical assumptions'!$B$13*T4</f>
        <v>1500</v>
      </c>
      <c r="U23" s="105">
        <f>'Critical assumptions'!$B$13*U4</f>
        <v>1500</v>
      </c>
      <c r="V23" s="105">
        <f>'Critical assumptions'!$B$13*V4</f>
        <v>1700</v>
      </c>
      <c r="W23" s="105">
        <f>'Critical assumptions'!$B$13*W4</f>
        <v>1800</v>
      </c>
      <c r="X23" s="105">
        <f>'Critical assumptions'!$B$13*X4</f>
        <v>2000</v>
      </c>
      <c r="Y23" s="105">
        <f>'Critical assumptions'!$B$13*Y4</f>
        <v>2300</v>
      </c>
      <c r="Z23" s="105">
        <f>'Critical assumptions'!$B$13*Z4</f>
        <v>2400</v>
      </c>
      <c r="AA23" s="105">
        <f>'Critical assumptions'!$B$13*AA4</f>
        <v>2600</v>
      </c>
      <c r="AB23" s="105">
        <f>'Critical assumptions'!$B$13*AB4</f>
        <v>2900</v>
      </c>
      <c r="AC23" s="105">
        <f>'Critical assumptions'!$B$13*AC4</f>
        <v>3200</v>
      </c>
      <c r="AD23" s="105">
        <f>'Critical assumptions'!$B$13*AD4</f>
        <v>3500</v>
      </c>
      <c r="AE23" s="105">
        <f>'Critical assumptions'!$B$13*AE4</f>
        <v>3800</v>
      </c>
      <c r="AF23" s="105">
        <f>'Critical assumptions'!$B$13*AF4</f>
        <v>4100</v>
      </c>
      <c r="AG23" s="105">
        <f>'Critical assumptions'!$B$13*AG4</f>
        <v>4400</v>
      </c>
      <c r="AH23" s="105">
        <f>'Critical assumptions'!$B$13*AH4</f>
        <v>4800</v>
      </c>
      <c r="AI23" s="105">
        <f>'Critical assumptions'!$B$13*AI4</f>
        <v>5300</v>
      </c>
      <c r="AJ23" s="105">
        <f>'Critical assumptions'!$B$13*AJ4</f>
        <v>5700</v>
      </c>
      <c r="AK23" s="105">
        <f>'Critical assumptions'!$B$13*AK4</f>
        <v>6200</v>
      </c>
      <c r="AL23" s="105">
        <f>'Critical assumptions'!$B$13*AL4</f>
        <v>6800</v>
      </c>
      <c r="AM23" s="105">
        <f>'Critical assumptions'!$B$13*AM4</f>
        <v>7400</v>
      </c>
      <c r="AN23" s="105">
        <f>'Critical assumptions'!$B$13*AN4</f>
        <v>8000</v>
      </c>
      <c r="AO23" s="105">
        <f>'Critical assumptions'!$B$13*AO4</f>
        <v>8800</v>
      </c>
      <c r="AP23" s="105">
        <f>'Critical assumptions'!$B$13*AP4</f>
        <v>9600</v>
      </c>
      <c r="AQ23" s="105">
        <f>'Critical assumptions'!$B$13*AQ4</f>
        <v>10400</v>
      </c>
    </row>
    <row r="24" spans="1:43" s="101" customFormat="1" ht="14" thickBot="1" x14ac:dyDescent="0.2">
      <c r="A24" s="69" t="s">
        <v>224</v>
      </c>
      <c r="B24" s="69"/>
      <c r="C24" s="69">
        <f t="shared" ref="C24:O24" si="34">SUM(C21:C23)</f>
        <v>1466.3</v>
      </c>
      <c r="D24" s="69">
        <f t="shared" si="34"/>
        <v>293.8</v>
      </c>
      <c r="E24" s="69">
        <f t="shared" si="34"/>
        <v>440.7</v>
      </c>
      <c r="F24" s="69">
        <f t="shared" si="34"/>
        <v>440.7</v>
      </c>
      <c r="G24" s="69">
        <f t="shared" si="34"/>
        <v>440.7</v>
      </c>
      <c r="H24" s="69">
        <f t="shared" si="34"/>
        <v>440.7</v>
      </c>
      <c r="I24" s="69">
        <f t="shared" si="34"/>
        <v>1853.9</v>
      </c>
      <c r="J24" s="69">
        <f t="shared" si="34"/>
        <v>679.4</v>
      </c>
      <c r="K24" s="69">
        <f t="shared" si="34"/>
        <v>725.3</v>
      </c>
      <c r="L24" s="69">
        <f t="shared" si="34"/>
        <v>1355.29</v>
      </c>
      <c r="M24" s="69">
        <f t="shared" si="34"/>
        <v>1355.29</v>
      </c>
      <c r="N24" s="69">
        <f t="shared" si="34"/>
        <v>1502.19</v>
      </c>
      <c r="O24" s="69">
        <f t="shared" si="34"/>
        <v>2447.6999999999998</v>
      </c>
      <c r="P24" s="69">
        <f t="shared" ref="P24:AM24" si="35">SUM(P21:P23)</f>
        <v>1840.72</v>
      </c>
      <c r="Q24" s="69">
        <f t="shared" si="35"/>
        <v>1840.72</v>
      </c>
      <c r="R24" s="69">
        <f t="shared" si="35"/>
        <v>2171.2200000000003</v>
      </c>
      <c r="S24" s="69">
        <f t="shared" si="35"/>
        <v>2463.85</v>
      </c>
      <c r="T24" s="69">
        <f t="shared" si="35"/>
        <v>2656.65</v>
      </c>
      <c r="U24" s="69">
        <f t="shared" si="35"/>
        <v>3235.3</v>
      </c>
      <c r="V24" s="69">
        <f t="shared" si="35"/>
        <v>3041.08</v>
      </c>
      <c r="W24" s="69">
        <f t="shared" si="35"/>
        <v>3187.98</v>
      </c>
      <c r="X24" s="69">
        <f t="shared" si="35"/>
        <v>3526.51</v>
      </c>
      <c r="Y24" s="69">
        <f t="shared" si="35"/>
        <v>4057.84</v>
      </c>
      <c r="Z24" s="69">
        <f t="shared" si="35"/>
        <v>4250.6399999999994</v>
      </c>
      <c r="AA24" s="69">
        <f t="shared" si="35"/>
        <v>4663.6000000000004</v>
      </c>
      <c r="AB24" s="69">
        <f t="shared" si="35"/>
        <v>5074.6000000000004</v>
      </c>
      <c r="AC24" s="69">
        <f t="shared" si="35"/>
        <v>5560.03</v>
      </c>
      <c r="AD24" s="69">
        <f t="shared" si="35"/>
        <v>6091.36</v>
      </c>
      <c r="AE24" s="69">
        <f t="shared" si="35"/>
        <v>6668.59</v>
      </c>
      <c r="AF24" s="69">
        <f t="shared" si="35"/>
        <v>7154.02</v>
      </c>
      <c r="AG24" s="69">
        <f t="shared" si="35"/>
        <v>7026.4</v>
      </c>
      <c r="AH24" s="69">
        <f t="shared" si="35"/>
        <v>8409.48</v>
      </c>
      <c r="AI24" s="69">
        <f t="shared" si="35"/>
        <v>9279.34</v>
      </c>
      <c r="AJ24" s="69">
        <f t="shared" si="35"/>
        <v>10003.469999999999</v>
      </c>
      <c r="AK24" s="69">
        <f t="shared" si="35"/>
        <v>10873.33</v>
      </c>
      <c r="AL24" s="69">
        <f t="shared" si="35"/>
        <v>11890.09</v>
      </c>
      <c r="AM24" s="69">
        <f t="shared" si="35"/>
        <v>10964.4</v>
      </c>
      <c r="AN24" s="69">
        <f t="shared" ref="AN24:AO24" si="36">SUM(AN21:AN23)</f>
        <v>13969.51</v>
      </c>
      <c r="AO24" s="69">
        <f t="shared" si="36"/>
        <v>15370.7</v>
      </c>
      <c r="AP24" s="69">
        <f t="shared" ref="AP24:AQ24" si="37">SUM(AP21:AP23)</f>
        <v>16725.990000000002</v>
      </c>
      <c r="AQ24" s="69">
        <f t="shared" si="37"/>
        <v>18128.349999999999</v>
      </c>
    </row>
    <row r="25" spans="1:43" ht="14" thickTop="1" x14ac:dyDescent="0.15">
      <c r="A25" s="40" t="s">
        <v>81</v>
      </c>
      <c r="B25" s="40"/>
    </row>
    <row r="26" spans="1:43" x14ac:dyDescent="0.15">
      <c r="A26" s="37" t="s">
        <v>79</v>
      </c>
      <c r="C26" s="43"/>
      <c r="D26" s="43"/>
      <c r="E26" s="43"/>
      <c r="F26" s="43"/>
      <c r="G26" s="43"/>
      <c r="H26" s="43"/>
      <c r="I26" s="43"/>
      <c r="J26" s="43">
        <f>(J15*'Critical assumptions'!$B$12)+(J10*1)</f>
        <v>44164.915200000003</v>
      </c>
      <c r="K26" s="43">
        <f>(K15*'Critical assumptions'!$B$12)+(K10*1)</f>
        <v>47770.21439999999</v>
      </c>
      <c r="L26" s="43">
        <f>(L15*'Critical assumptions'!$B$12)+(L10*1)</f>
        <v>52276.838399999993</v>
      </c>
      <c r="M26" s="43">
        <f>(M15*'Critical assumptions'!$B$12)+(M10*1)</f>
        <v>56783.462399999989</v>
      </c>
      <c r="N26" s="43">
        <f>(N15*'Critical assumptions'!$B$12)+(N10*1)</f>
        <v>62191.411199999995</v>
      </c>
      <c r="O26" s="43">
        <f>(O15*'Critical assumptions'!$B$12)+(O10*1)</f>
        <v>67599.360000000001</v>
      </c>
      <c r="P26" s="43">
        <f>(P15*'Critical assumptions'!$B$12)+(P10*1)</f>
        <v>73908.633600000001</v>
      </c>
      <c r="Q26" s="43">
        <f>(Q15*'Critical assumptions'!$B$12)+(Q10*1)</f>
        <v>80217.907200000001</v>
      </c>
      <c r="R26" s="43">
        <f>(R15*'Critical assumptions'!$B$12)+(R10*1)</f>
        <v>87428.505600000004</v>
      </c>
      <c r="S26" s="43">
        <f>(S15*'Critical assumptions'!$B$12)+(S10*1)</f>
        <v>95540.42879999998</v>
      </c>
      <c r="T26" s="43">
        <f>(T15*'Critical assumptions'!$B$12)+(T10*1)</f>
        <v>104553.67679999999</v>
      </c>
      <c r="U26" s="43">
        <f>(U15*'Critical assumptions'!$B$12)+(U10*1)</f>
        <v>113566.92479999998</v>
      </c>
      <c r="V26" s="43">
        <f>(V15*'Critical assumptions'!$B$12)+(V10*1)</f>
        <v>123481.4976</v>
      </c>
      <c r="W26" s="43">
        <f>(W15*'Critical assumptions'!$B$12)+(W10*1)</f>
        <v>134297.3952</v>
      </c>
      <c r="X26" s="43">
        <f>(X15*'Critical assumptions'!$B$12)+(X10*1)</f>
        <v>146014.61759999997</v>
      </c>
      <c r="Y26" s="43">
        <f>(Y15*'Critical assumptions'!$B$12)+(Y10*1)</f>
        <v>159534.48959999997</v>
      </c>
      <c r="Z26" s="43">
        <f>(Z15*'Critical assumptions'!$B$12)+(Z10*1)</f>
        <v>173955.68640000001</v>
      </c>
      <c r="AA26" s="43">
        <f>(AA15*'Critical assumptions'!$B$12)+(AA10*1)</f>
        <v>189278.20800000001</v>
      </c>
      <c r="AB26" s="43">
        <f>(AB15*'Critical assumptions'!$B$12)+(AB10*1)</f>
        <v>206403.3792</v>
      </c>
      <c r="AC26" s="43">
        <f>(AC15*'Critical assumptions'!$B$12)+(AC10*1)</f>
        <v>225331.20000000001</v>
      </c>
      <c r="AD26" s="43">
        <f>(AD15*'Critical assumptions'!$B$12)+(AD10*1)</f>
        <v>246061.6704</v>
      </c>
      <c r="AE26" s="43">
        <f>(AE15*'Critical assumptions'!$B$12)+(AE10*1)</f>
        <v>268594.7904</v>
      </c>
      <c r="AF26" s="43">
        <f>(AF15*'Critical assumptions'!$B$12)+(AF10*1)</f>
        <v>292930.56</v>
      </c>
      <c r="AG26" s="43">
        <f>(AG15*'Critical assumptions'!$B$12)+(AG10*1)</f>
        <v>319068.97919999994</v>
      </c>
      <c r="AH26" s="43">
        <f>(AH15*'Critical assumptions'!$B$12)+(AH10*1)</f>
        <v>347911.37280000001</v>
      </c>
      <c r="AI26" s="43">
        <f>(AI15*'Critical assumptions'!$B$12)+(AI10*1)</f>
        <v>379457.74080000003</v>
      </c>
      <c r="AJ26" s="43">
        <f>(AJ15*'Critical assumptions'!$B$12)+(AJ10*1)</f>
        <v>413708.08319999994</v>
      </c>
      <c r="AK26" s="43">
        <f>(AK15*'Critical assumptions'!$B$12)+(AK10*1)</f>
        <v>450662.40000000002</v>
      </c>
      <c r="AL26" s="43">
        <f>(AL15*'Critical assumptions'!$B$12)+(AL10*1)</f>
        <v>491222.016</v>
      </c>
      <c r="AM26" s="43">
        <f>(AM15*'Critical assumptions'!$B$12)+(AM10*1)</f>
        <v>535386.93119999999</v>
      </c>
      <c r="AN26" s="43">
        <f>(AN15*'Critical assumptions'!$B$12)+(AN10*1)</f>
        <v>583157.14560000005</v>
      </c>
      <c r="AO26" s="43">
        <f>(AO15*'Critical assumptions'!$B$12)+(AO10*1)</f>
        <v>635433.98400000005</v>
      </c>
      <c r="AP26" s="43">
        <f>(AP15*'Critical assumptions'!$B$12)+(AP10*1)</f>
        <v>692217.4463999999</v>
      </c>
      <c r="AQ26" s="43">
        <f>(AQ15*'Critical assumptions'!$B$12)+(AQ10*1)</f>
        <v>754408.85759999999</v>
      </c>
    </row>
    <row r="27" spans="1:43" s="101" customFormat="1" ht="14" thickBot="1" x14ac:dyDescent="0.2">
      <c r="A27" s="69" t="s">
        <v>225</v>
      </c>
      <c r="B27" s="69"/>
      <c r="C27" s="69">
        <f>C26</f>
        <v>0</v>
      </c>
      <c r="D27" s="69">
        <f t="shared" ref="D27:AQ27" si="38">D26</f>
        <v>0</v>
      </c>
      <c r="E27" s="69">
        <f t="shared" si="38"/>
        <v>0</v>
      </c>
      <c r="F27" s="69">
        <f t="shared" si="38"/>
        <v>0</v>
      </c>
      <c r="G27" s="69">
        <f t="shared" si="38"/>
        <v>0</v>
      </c>
      <c r="H27" s="69">
        <f t="shared" si="38"/>
        <v>0</v>
      </c>
      <c r="I27" s="69">
        <f t="shared" si="38"/>
        <v>0</v>
      </c>
      <c r="J27" s="69">
        <f t="shared" si="38"/>
        <v>44164.915200000003</v>
      </c>
      <c r="K27" s="69">
        <f t="shared" si="38"/>
        <v>47770.21439999999</v>
      </c>
      <c r="L27" s="69">
        <f t="shared" si="38"/>
        <v>52276.838399999993</v>
      </c>
      <c r="M27" s="69">
        <f t="shared" si="38"/>
        <v>56783.462399999989</v>
      </c>
      <c r="N27" s="69">
        <f t="shared" si="38"/>
        <v>62191.411199999995</v>
      </c>
      <c r="O27" s="69">
        <f t="shared" si="38"/>
        <v>67599.360000000001</v>
      </c>
      <c r="P27" s="69">
        <f t="shared" si="38"/>
        <v>73908.633600000001</v>
      </c>
      <c r="Q27" s="69">
        <f t="shared" si="38"/>
        <v>80217.907200000001</v>
      </c>
      <c r="R27" s="69">
        <f t="shared" si="38"/>
        <v>87428.505600000004</v>
      </c>
      <c r="S27" s="69">
        <f t="shared" si="38"/>
        <v>95540.42879999998</v>
      </c>
      <c r="T27" s="69">
        <f t="shared" si="38"/>
        <v>104553.67679999999</v>
      </c>
      <c r="U27" s="69">
        <f t="shared" si="38"/>
        <v>113566.92479999998</v>
      </c>
      <c r="V27" s="69">
        <f t="shared" si="38"/>
        <v>123481.4976</v>
      </c>
      <c r="W27" s="69">
        <f t="shared" si="38"/>
        <v>134297.3952</v>
      </c>
      <c r="X27" s="69">
        <f t="shared" si="38"/>
        <v>146014.61759999997</v>
      </c>
      <c r="Y27" s="69">
        <f t="shared" si="38"/>
        <v>159534.48959999997</v>
      </c>
      <c r="Z27" s="69">
        <f t="shared" si="38"/>
        <v>173955.68640000001</v>
      </c>
      <c r="AA27" s="69">
        <f t="shared" si="38"/>
        <v>189278.20800000001</v>
      </c>
      <c r="AB27" s="69">
        <f t="shared" si="38"/>
        <v>206403.3792</v>
      </c>
      <c r="AC27" s="69">
        <f t="shared" si="38"/>
        <v>225331.20000000001</v>
      </c>
      <c r="AD27" s="69">
        <f t="shared" si="38"/>
        <v>246061.6704</v>
      </c>
      <c r="AE27" s="69">
        <f t="shared" si="38"/>
        <v>268594.7904</v>
      </c>
      <c r="AF27" s="69">
        <f t="shared" si="38"/>
        <v>292930.56</v>
      </c>
      <c r="AG27" s="69">
        <f t="shared" si="38"/>
        <v>319068.97919999994</v>
      </c>
      <c r="AH27" s="69">
        <f t="shared" si="38"/>
        <v>347911.37280000001</v>
      </c>
      <c r="AI27" s="69">
        <f t="shared" si="38"/>
        <v>379457.74080000003</v>
      </c>
      <c r="AJ27" s="69">
        <f t="shared" si="38"/>
        <v>413708.08319999994</v>
      </c>
      <c r="AK27" s="69">
        <f t="shared" si="38"/>
        <v>450662.40000000002</v>
      </c>
      <c r="AL27" s="69">
        <f t="shared" si="38"/>
        <v>491222.016</v>
      </c>
      <c r="AM27" s="69">
        <f t="shared" si="38"/>
        <v>535386.93119999999</v>
      </c>
      <c r="AN27" s="69">
        <f t="shared" si="38"/>
        <v>583157.14560000005</v>
      </c>
      <c r="AO27" s="69">
        <f t="shared" si="38"/>
        <v>635433.98400000005</v>
      </c>
      <c r="AP27" s="69">
        <f t="shared" si="38"/>
        <v>692217.4463999999</v>
      </c>
      <c r="AQ27" s="69">
        <f t="shared" si="38"/>
        <v>754408.85759999999</v>
      </c>
    </row>
    <row r="28" spans="1:43" ht="14" thickTop="1" x14ac:dyDescent="0.15">
      <c r="A28" s="40" t="s">
        <v>251</v>
      </c>
      <c r="B28" s="40"/>
    </row>
    <row r="29" spans="1:43" x14ac:dyDescent="0.15">
      <c r="A29" s="37" t="s">
        <v>79</v>
      </c>
      <c r="C29" s="43"/>
      <c r="D29" s="43"/>
      <c r="E29" s="43"/>
      <c r="F29" s="43"/>
      <c r="G29" s="43"/>
      <c r="H29" s="43"/>
      <c r="I29" s="43"/>
      <c r="J29" s="43">
        <f>(J16*'Critical assumptions'!$B$12)</f>
        <v>40.000000000000007</v>
      </c>
      <c r="K29" s="43">
        <f>(K16*'Critical assumptions'!$B$12)</f>
        <v>40.000000000000007</v>
      </c>
      <c r="L29" s="43">
        <f>(L16*'Critical assumptions'!$B$12)</f>
        <v>40.000000000000007</v>
      </c>
      <c r="M29" s="43">
        <f>(M16*'Critical assumptions'!$B$12)</f>
        <v>40.000000000000007</v>
      </c>
      <c r="N29" s="43">
        <f>(N16*'Critical assumptions'!$B$12)</f>
        <v>40.000000000000007</v>
      </c>
      <c r="O29" s="43">
        <f>(O16*'Critical assumptions'!$B$12)</f>
        <v>40.000000000000007</v>
      </c>
      <c r="P29" s="43">
        <f>(P16*'Critical assumptions'!$B$12)</f>
        <v>40.000000000000007</v>
      </c>
      <c r="Q29" s="43">
        <f>(Q16*'Critical assumptions'!$B$12)</f>
        <v>40.000000000000007</v>
      </c>
      <c r="R29" s="43">
        <f>(R16*'Critical assumptions'!$B$12)</f>
        <v>40.000000000000007</v>
      </c>
      <c r="S29" s="43">
        <f>(S16*'Critical assumptions'!$B$12)</f>
        <v>40.000000000000007</v>
      </c>
      <c r="T29" s="43">
        <f>(T16*'Critical assumptions'!$B$12)</f>
        <v>40.000000000000007</v>
      </c>
      <c r="U29" s="43">
        <f>(U16*'Critical assumptions'!$B$12)</f>
        <v>40.000000000000007</v>
      </c>
      <c r="V29" s="43">
        <f>(V16*'Critical assumptions'!$B$12)</f>
        <v>40.000000000000007</v>
      </c>
      <c r="W29" s="43">
        <f>(W16*'Critical assumptions'!$B$12)</f>
        <v>40.000000000000007</v>
      </c>
      <c r="X29" s="43">
        <f>(X16*'Critical assumptions'!$B$12)</f>
        <v>40.000000000000007</v>
      </c>
      <c r="Y29" s="43">
        <f>(Y16*'Critical assumptions'!$B$12)</f>
        <v>40.000000000000007</v>
      </c>
      <c r="Z29" s="43">
        <f>(Z16*'Critical assumptions'!$B$12)</f>
        <v>40.000000000000007</v>
      </c>
      <c r="AA29" s="43">
        <f>(AA16*'Critical assumptions'!$B$12)</f>
        <v>40.000000000000007</v>
      </c>
      <c r="AB29" s="43">
        <f>(AB16*'Critical assumptions'!$B$12)</f>
        <v>40.000000000000007</v>
      </c>
      <c r="AC29" s="43">
        <f>(AC16*'Critical assumptions'!$B$12)</f>
        <v>40.000000000000007</v>
      </c>
      <c r="AD29" s="43">
        <f>(AD16*'Critical assumptions'!$B$12)</f>
        <v>40.000000000000007</v>
      </c>
      <c r="AE29" s="43">
        <f>(AE16*'Critical assumptions'!$B$12)</f>
        <v>40.000000000000007</v>
      </c>
      <c r="AF29" s="43">
        <f>(AF16*'Critical assumptions'!$B$12)</f>
        <v>40.000000000000007</v>
      </c>
      <c r="AG29" s="43">
        <f>(AG16*'Critical assumptions'!$B$12)</f>
        <v>40.000000000000007</v>
      </c>
      <c r="AH29" s="43">
        <f>(AH16*'Critical assumptions'!$B$12)</f>
        <v>40.000000000000007</v>
      </c>
      <c r="AI29" s="43">
        <f>(AI16*'Critical assumptions'!$B$12)</f>
        <v>40.000000000000007</v>
      </c>
      <c r="AJ29" s="43">
        <f>(AJ16*'Critical assumptions'!$B$12)</f>
        <v>40.000000000000007</v>
      </c>
      <c r="AK29" s="43">
        <f>(AK16*'Critical assumptions'!$B$12)</f>
        <v>40.000000000000007</v>
      </c>
      <c r="AL29" s="43">
        <f>(AL16*'Critical assumptions'!$B$12)</f>
        <v>40.000000000000007</v>
      </c>
      <c r="AM29" s="43">
        <f>(AM16*'Critical assumptions'!$B$12)</f>
        <v>40.000000000000007</v>
      </c>
      <c r="AN29" s="43">
        <f>(AN16*'Critical assumptions'!$B$12)</f>
        <v>40.000000000000007</v>
      </c>
      <c r="AO29" s="43">
        <f>(AO16*'Critical assumptions'!$B$12)</f>
        <v>40.000000000000007</v>
      </c>
      <c r="AP29" s="43">
        <f>(AP16*'Critical assumptions'!$B$12)</f>
        <v>40.000000000000007</v>
      </c>
      <c r="AQ29" s="43">
        <f>(AQ16*'Critical assumptions'!$B$12)</f>
        <v>40.000000000000007</v>
      </c>
    </row>
    <row r="30" spans="1:43" ht="14" thickBot="1" x14ac:dyDescent="0.2">
      <c r="A30" s="69" t="s">
        <v>254</v>
      </c>
      <c r="B30" s="69"/>
      <c r="C30" s="69">
        <f>C29</f>
        <v>0</v>
      </c>
      <c r="D30" s="69">
        <f t="shared" ref="D30:AQ30" si="39">D29</f>
        <v>0</v>
      </c>
      <c r="E30" s="69">
        <f t="shared" si="39"/>
        <v>0</v>
      </c>
      <c r="F30" s="69">
        <f t="shared" si="39"/>
        <v>0</v>
      </c>
      <c r="G30" s="69">
        <f t="shared" si="39"/>
        <v>0</v>
      </c>
      <c r="H30" s="69">
        <f t="shared" si="39"/>
        <v>0</v>
      </c>
      <c r="I30" s="69">
        <f t="shared" si="39"/>
        <v>0</v>
      </c>
      <c r="J30" s="69">
        <f t="shared" si="39"/>
        <v>40.000000000000007</v>
      </c>
      <c r="K30" s="69">
        <f t="shared" si="39"/>
        <v>40.000000000000007</v>
      </c>
      <c r="L30" s="69">
        <f t="shared" si="39"/>
        <v>40.000000000000007</v>
      </c>
      <c r="M30" s="69">
        <f t="shared" si="39"/>
        <v>40.000000000000007</v>
      </c>
      <c r="N30" s="69">
        <f t="shared" si="39"/>
        <v>40.000000000000007</v>
      </c>
      <c r="O30" s="69">
        <f t="shared" si="39"/>
        <v>40.000000000000007</v>
      </c>
      <c r="P30" s="69">
        <f t="shared" si="39"/>
        <v>40.000000000000007</v>
      </c>
      <c r="Q30" s="69">
        <f t="shared" si="39"/>
        <v>40.000000000000007</v>
      </c>
      <c r="R30" s="69">
        <f t="shared" si="39"/>
        <v>40.000000000000007</v>
      </c>
      <c r="S30" s="69">
        <f t="shared" si="39"/>
        <v>40.000000000000007</v>
      </c>
      <c r="T30" s="69">
        <f t="shared" si="39"/>
        <v>40.000000000000007</v>
      </c>
      <c r="U30" s="69">
        <f t="shared" si="39"/>
        <v>40.000000000000007</v>
      </c>
      <c r="V30" s="69">
        <f t="shared" si="39"/>
        <v>40.000000000000007</v>
      </c>
      <c r="W30" s="69">
        <f t="shared" si="39"/>
        <v>40.000000000000007</v>
      </c>
      <c r="X30" s="69">
        <f t="shared" si="39"/>
        <v>40.000000000000007</v>
      </c>
      <c r="Y30" s="69">
        <f t="shared" si="39"/>
        <v>40.000000000000007</v>
      </c>
      <c r="Z30" s="69">
        <f t="shared" si="39"/>
        <v>40.000000000000007</v>
      </c>
      <c r="AA30" s="69">
        <f t="shared" si="39"/>
        <v>40.000000000000007</v>
      </c>
      <c r="AB30" s="69">
        <f t="shared" si="39"/>
        <v>40.000000000000007</v>
      </c>
      <c r="AC30" s="69">
        <f t="shared" si="39"/>
        <v>40.000000000000007</v>
      </c>
      <c r="AD30" s="69">
        <f t="shared" si="39"/>
        <v>40.000000000000007</v>
      </c>
      <c r="AE30" s="69">
        <f t="shared" si="39"/>
        <v>40.000000000000007</v>
      </c>
      <c r="AF30" s="69">
        <f t="shared" si="39"/>
        <v>40.000000000000007</v>
      </c>
      <c r="AG30" s="69">
        <f t="shared" si="39"/>
        <v>40.000000000000007</v>
      </c>
      <c r="AH30" s="69">
        <f t="shared" si="39"/>
        <v>40.000000000000007</v>
      </c>
      <c r="AI30" s="69">
        <f t="shared" si="39"/>
        <v>40.000000000000007</v>
      </c>
      <c r="AJ30" s="69">
        <f t="shared" si="39"/>
        <v>40.000000000000007</v>
      </c>
      <c r="AK30" s="69">
        <f t="shared" si="39"/>
        <v>40.000000000000007</v>
      </c>
      <c r="AL30" s="69">
        <f t="shared" si="39"/>
        <v>40.000000000000007</v>
      </c>
      <c r="AM30" s="69">
        <f t="shared" si="39"/>
        <v>40.000000000000007</v>
      </c>
      <c r="AN30" s="69">
        <f t="shared" si="39"/>
        <v>40.000000000000007</v>
      </c>
      <c r="AO30" s="69">
        <f t="shared" si="39"/>
        <v>40.000000000000007</v>
      </c>
      <c r="AP30" s="69">
        <f t="shared" si="39"/>
        <v>40.000000000000007</v>
      </c>
      <c r="AQ30" s="69">
        <f t="shared" si="39"/>
        <v>40.000000000000007</v>
      </c>
    </row>
    <row r="31" spans="1:43" ht="14" thickTop="1" x14ac:dyDescent="0.15"/>
    <row r="32" spans="1:43" ht="14" thickBot="1" x14ac:dyDescent="0.2">
      <c r="A32" s="69" t="s">
        <v>255</v>
      </c>
      <c r="B32" s="69"/>
      <c r="C32" s="69">
        <f>C17-C24-C27-C30</f>
        <v>5823.7</v>
      </c>
      <c r="D32" s="69">
        <f t="shared" ref="D32:AQ32" si="40">D17-D24-D27-D30</f>
        <v>246.2</v>
      </c>
      <c r="E32" s="69">
        <f t="shared" si="40"/>
        <v>369.3</v>
      </c>
      <c r="F32" s="69">
        <f t="shared" si="40"/>
        <v>369.3</v>
      </c>
      <c r="G32" s="69">
        <f t="shared" si="40"/>
        <v>369.3</v>
      </c>
      <c r="H32" s="69">
        <f t="shared" si="40"/>
        <v>369.3</v>
      </c>
      <c r="I32" s="69">
        <f t="shared" si="40"/>
        <v>6516.1</v>
      </c>
      <c r="J32" s="69">
        <f t="shared" si="40"/>
        <v>50181.444799999997</v>
      </c>
      <c r="K32" s="69">
        <f t="shared" si="40"/>
        <v>54265.205599999994</v>
      </c>
      <c r="L32" s="69">
        <f t="shared" si="40"/>
        <v>59806.791599999997</v>
      </c>
      <c r="M32" s="69">
        <f t="shared" si="40"/>
        <v>64631.367599999998</v>
      </c>
      <c r="N32" s="69">
        <f t="shared" si="40"/>
        <v>70543.958799999993</v>
      </c>
      <c r="O32" s="69">
        <f t="shared" si="40"/>
        <v>80790.939999999988</v>
      </c>
      <c r="P32" s="69">
        <f t="shared" si="40"/>
        <v>83558.326399999991</v>
      </c>
      <c r="Q32" s="69">
        <f t="shared" si="40"/>
        <v>90312.732800000013</v>
      </c>
      <c r="R32" s="69">
        <f t="shared" si="40"/>
        <v>99051.554399999994</v>
      </c>
      <c r="S32" s="69">
        <f t="shared" si="40"/>
        <v>107982.16119999999</v>
      </c>
      <c r="T32" s="69">
        <f t="shared" si="40"/>
        <v>117978.51319999999</v>
      </c>
      <c r="U32" s="69">
        <f t="shared" si="40"/>
        <v>130294.01519999999</v>
      </c>
      <c r="V32" s="69">
        <f t="shared" si="40"/>
        <v>138936.30239999999</v>
      </c>
      <c r="W32" s="69">
        <f t="shared" si="40"/>
        <v>150638.38480000003</v>
      </c>
      <c r="X32" s="69">
        <f t="shared" si="40"/>
        <v>163652.75239999997</v>
      </c>
      <c r="Y32" s="69">
        <f t="shared" si="40"/>
        <v>178944.15039999993</v>
      </c>
      <c r="Z32" s="69">
        <f t="shared" si="40"/>
        <v>194729.99359999999</v>
      </c>
      <c r="AA32" s="69">
        <f t="shared" si="40"/>
        <v>211808.59200000003</v>
      </c>
      <c r="AB32" s="69">
        <f t="shared" si="40"/>
        <v>230530.98080000005</v>
      </c>
      <c r="AC32" s="69">
        <f t="shared" si="40"/>
        <v>251387.76999999996</v>
      </c>
      <c r="AD32" s="69">
        <f t="shared" si="40"/>
        <v>274398.48960000003</v>
      </c>
      <c r="AE32" s="69">
        <f t="shared" si="40"/>
        <v>299563.13960000005</v>
      </c>
      <c r="AF32" s="69">
        <f t="shared" si="40"/>
        <v>326209.42</v>
      </c>
      <c r="AG32" s="69">
        <f t="shared" si="40"/>
        <v>351633.58079999988</v>
      </c>
      <c r="AH32" s="69">
        <f t="shared" si="40"/>
        <v>387051.78720000002</v>
      </c>
      <c r="AI32" s="69">
        <f t="shared" si="40"/>
        <v>422111.95920000004</v>
      </c>
      <c r="AJ32" s="69">
        <f t="shared" si="40"/>
        <v>459943.60680000001</v>
      </c>
      <c r="AK32" s="69">
        <f t="shared" si="40"/>
        <v>500793.27</v>
      </c>
      <c r="AL32" s="69">
        <f t="shared" si="40"/>
        <v>545625.69400000013</v>
      </c>
      <c r="AM32" s="69">
        <f t="shared" si="40"/>
        <v>584675.22880000016</v>
      </c>
      <c r="AN32" s="69">
        <f t="shared" si="40"/>
        <v>647093.62439999997</v>
      </c>
      <c r="AO32" s="69">
        <f t="shared" si="40"/>
        <v>705164.51599999995</v>
      </c>
      <c r="AP32" s="69">
        <f t="shared" si="40"/>
        <v>767835.88359999994</v>
      </c>
      <c r="AQ32" s="69">
        <f t="shared" si="40"/>
        <v>836520.67240000004</v>
      </c>
    </row>
    <row r="33" ht="14" thickTop="1" x14ac:dyDescent="0.15"/>
  </sheetData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CA9BE-188D-4D00-BBF7-95D5607B47CC}">
  <dimension ref="A1:G76"/>
  <sheetViews>
    <sheetView showGridLines="0"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24" sqref="G24"/>
    </sheetView>
  </sheetViews>
  <sheetFormatPr baseColWidth="10" defaultColWidth="9" defaultRowHeight="13" x14ac:dyDescent="0.15"/>
  <cols>
    <col min="1" max="1" width="29.1640625" style="37" bestFit="1" customWidth="1"/>
    <col min="2" max="2" width="15" style="37" bestFit="1" customWidth="1"/>
    <col min="3" max="3" width="10.1640625" style="37" bestFit="1" customWidth="1"/>
    <col min="4" max="4" width="9.83203125" style="37" bestFit="1" customWidth="1"/>
    <col min="5" max="5" width="12.6640625" style="37" bestFit="1" customWidth="1"/>
    <col min="6" max="7" width="11.6640625" style="37" bestFit="1" customWidth="1"/>
    <col min="8" max="16384" width="9" style="37"/>
  </cols>
  <sheetData>
    <row r="1" spans="1:7" x14ac:dyDescent="0.15">
      <c r="A1" s="35"/>
      <c r="B1" s="36" t="s">
        <v>135</v>
      </c>
      <c r="C1" s="36" t="s">
        <v>136</v>
      </c>
      <c r="D1" s="35"/>
      <c r="E1" s="116">
        <v>44287</v>
      </c>
      <c r="F1" s="116">
        <v>44652</v>
      </c>
      <c r="G1" s="116">
        <v>45017</v>
      </c>
    </row>
    <row r="3" spans="1:7" x14ac:dyDescent="0.15">
      <c r="A3" s="36" t="s">
        <v>218</v>
      </c>
      <c r="E3" s="38"/>
      <c r="F3" s="38"/>
      <c r="G3" s="38"/>
    </row>
    <row r="4" spans="1:7" x14ac:dyDescent="0.15">
      <c r="A4" s="37" t="s">
        <v>137</v>
      </c>
      <c r="E4" s="38">
        <v>2.4E-2</v>
      </c>
      <c r="F4" s="38">
        <f>E4</f>
        <v>2.4E-2</v>
      </c>
      <c r="G4" s="38">
        <f>F4</f>
        <v>2.4E-2</v>
      </c>
    </row>
    <row r="6" spans="1:7" ht="14" x14ac:dyDescent="0.15">
      <c r="A6" s="39" t="s">
        <v>138</v>
      </c>
      <c r="B6" s="46"/>
      <c r="C6" s="46"/>
      <c r="D6" s="46"/>
      <c r="E6" s="46"/>
      <c r="F6" s="46"/>
      <c r="G6" s="46"/>
    </row>
    <row r="7" spans="1:7" x14ac:dyDescent="0.15">
      <c r="A7" s="40" t="s">
        <v>139</v>
      </c>
      <c r="B7" s="41" t="s">
        <v>140</v>
      </c>
    </row>
    <row r="8" spans="1:7" x14ac:dyDescent="0.15">
      <c r="A8" s="37" t="s">
        <v>113</v>
      </c>
      <c r="E8" s="37">
        <v>2</v>
      </c>
      <c r="F8" s="37">
        <f>'Employee Count'!G6</f>
        <v>4</v>
      </c>
      <c r="G8" s="37">
        <f>'Employee Count'!K6</f>
        <v>8</v>
      </c>
    </row>
    <row r="9" spans="1:7" x14ac:dyDescent="0.15">
      <c r="A9" s="37" t="s">
        <v>108</v>
      </c>
      <c r="E9" s="37">
        <v>0</v>
      </c>
      <c r="F9" s="37">
        <f>'Employee Count'!G7</f>
        <v>2</v>
      </c>
      <c r="G9" s="37">
        <f>'Employee Count'!K7</f>
        <v>2</v>
      </c>
    </row>
    <row r="10" spans="1:7" x14ac:dyDescent="0.15">
      <c r="A10" s="37" t="s">
        <v>109</v>
      </c>
      <c r="E10" s="37">
        <v>1</v>
      </c>
      <c r="F10" s="37">
        <f>'Employee Count'!G8</f>
        <v>1</v>
      </c>
      <c r="G10" s="37">
        <f>'Employee Count'!K8</f>
        <v>1</v>
      </c>
    </row>
    <row r="11" spans="1:7" x14ac:dyDescent="0.15">
      <c r="A11" s="37" t="s">
        <v>25</v>
      </c>
      <c r="E11" s="37">
        <v>2</v>
      </c>
      <c r="F11" s="37">
        <f>'Employee Count'!G9</f>
        <v>4</v>
      </c>
      <c r="G11" s="37">
        <f>'Employee Count'!K9</f>
        <v>5</v>
      </c>
    </row>
    <row r="12" spans="1:7" x14ac:dyDescent="0.15">
      <c r="A12" s="37" t="s">
        <v>46</v>
      </c>
      <c r="E12" s="37">
        <f>SUM(E8:E11)</f>
        <v>5</v>
      </c>
      <c r="F12" s="37">
        <f>SUM(F8:F11)</f>
        <v>11</v>
      </c>
      <c r="G12" s="37">
        <f>SUM(G8:G11)</f>
        <v>16</v>
      </c>
    </row>
    <row r="14" spans="1:7" x14ac:dyDescent="0.15">
      <c r="A14" s="40" t="s">
        <v>139</v>
      </c>
      <c r="B14" s="42" t="s">
        <v>141</v>
      </c>
    </row>
    <row r="15" spans="1:7" x14ac:dyDescent="0.15">
      <c r="A15" s="37" t="s">
        <v>113</v>
      </c>
      <c r="E15" s="37">
        <v>4000</v>
      </c>
      <c r="F15" s="43">
        <f t="shared" ref="F15:G18" si="0">E15*(1+F$4)</f>
        <v>4096</v>
      </c>
      <c r="G15" s="43">
        <f t="shared" si="0"/>
        <v>4194.3040000000001</v>
      </c>
    </row>
    <row r="16" spans="1:7" x14ac:dyDescent="0.15">
      <c r="A16" s="37" t="s">
        <v>108</v>
      </c>
      <c r="E16" s="37">
        <v>4000</v>
      </c>
      <c r="F16" s="43">
        <f t="shared" si="0"/>
        <v>4096</v>
      </c>
      <c r="G16" s="43">
        <f t="shared" si="0"/>
        <v>4194.3040000000001</v>
      </c>
    </row>
    <row r="17" spans="1:7" x14ac:dyDescent="0.15">
      <c r="A17" s="37" t="s">
        <v>109</v>
      </c>
      <c r="E17" s="37">
        <v>4000</v>
      </c>
      <c r="F17" s="43">
        <f t="shared" si="0"/>
        <v>4096</v>
      </c>
      <c r="G17" s="43">
        <f t="shared" si="0"/>
        <v>4194.3040000000001</v>
      </c>
    </row>
    <row r="18" spans="1:7" x14ac:dyDescent="0.15">
      <c r="A18" s="37" t="s">
        <v>25</v>
      </c>
      <c r="E18" s="37">
        <v>5000</v>
      </c>
      <c r="F18" s="43">
        <f t="shared" si="0"/>
        <v>5120</v>
      </c>
      <c r="G18" s="43">
        <f t="shared" si="0"/>
        <v>5242.88</v>
      </c>
    </row>
    <row r="20" spans="1:7" x14ac:dyDescent="0.15">
      <c r="A20" s="37" t="s">
        <v>142</v>
      </c>
      <c r="E20" s="43">
        <f>SUMPRODUCT(E8:E11,E15:E18)</f>
        <v>22000</v>
      </c>
      <c r="F20" s="43">
        <f>SUMPRODUCT(F8:F11,F15:F18)</f>
        <v>49152</v>
      </c>
      <c r="G20" s="43">
        <f>SUMPRODUCT(G8:G11,G15:G18)</f>
        <v>72351.744000000006</v>
      </c>
    </row>
    <row r="22" spans="1:7" x14ac:dyDescent="0.15">
      <c r="A22" s="40" t="s">
        <v>143</v>
      </c>
      <c r="B22" s="41" t="s">
        <v>140</v>
      </c>
    </row>
    <row r="23" spans="1:7" x14ac:dyDescent="0.15">
      <c r="A23" s="37" t="s">
        <v>113</v>
      </c>
      <c r="E23" s="37">
        <f>'Employee Count'!D6</f>
        <v>0</v>
      </c>
      <c r="F23" s="37">
        <f>'Employee Count'!H6</f>
        <v>0</v>
      </c>
      <c r="G23" s="37">
        <f>'Employee Count'!L6</f>
        <v>0</v>
      </c>
    </row>
    <row r="24" spans="1:7" x14ac:dyDescent="0.15">
      <c r="A24" s="37" t="s">
        <v>108</v>
      </c>
      <c r="E24" s="37">
        <f>'Employee Count'!D7</f>
        <v>1</v>
      </c>
      <c r="F24" s="37">
        <f>'Employee Count'!H7</f>
        <v>0</v>
      </c>
      <c r="G24" s="37">
        <f>'Employee Count'!L7</f>
        <v>0</v>
      </c>
    </row>
    <row r="25" spans="1:7" x14ac:dyDescent="0.15">
      <c r="A25" s="37" t="s">
        <v>109</v>
      </c>
      <c r="E25" s="37">
        <f>'Employee Count'!D8</f>
        <v>0</v>
      </c>
      <c r="F25" s="37">
        <f>'Employee Count'!H8</f>
        <v>0</v>
      </c>
      <c r="G25" s="37">
        <f>'Employee Count'!L8</f>
        <v>0</v>
      </c>
    </row>
    <row r="26" spans="1:7" x14ac:dyDescent="0.15">
      <c r="A26" s="37" t="s">
        <v>25</v>
      </c>
      <c r="E26" s="37">
        <f>'Employee Count'!D9</f>
        <v>5</v>
      </c>
      <c r="F26" s="37">
        <f>'Employee Count'!H9</f>
        <v>5</v>
      </c>
      <c r="G26" s="37">
        <f>'Employee Count'!L9</f>
        <v>0</v>
      </c>
    </row>
    <row r="27" spans="1:7" x14ac:dyDescent="0.15">
      <c r="A27" s="37" t="s">
        <v>46</v>
      </c>
      <c r="E27" s="37">
        <f>SUM(E23:E26)</f>
        <v>6</v>
      </c>
      <c r="F27" s="37">
        <f>SUM(F23:F26)</f>
        <v>5</v>
      </c>
      <c r="G27" s="37">
        <f>SUM(G23:G26)</f>
        <v>0</v>
      </c>
    </row>
    <row r="29" spans="1:7" x14ac:dyDescent="0.15">
      <c r="A29" s="40" t="s">
        <v>143</v>
      </c>
      <c r="B29" s="42" t="s">
        <v>141</v>
      </c>
    </row>
    <row r="30" spans="1:7" x14ac:dyDescent="0.15">
      <c r="A30" s="37" t="s">
        <v>113</v>
      </c>
      <c r="E30" s="37">
        <v>3000</v>
      </c>
      <c r="F30" s="43">
        <f t="shared" ref="F30:G33" si="1">E30*(1+F$4)</f>
        <v>3072</v>
      </c>
      <c r="G30" s="43">
        <f t="shared" si="1"/>
        <v>3145.7280000000001</v>
      </c>
    </row>
    <row r="31" spans="1:7" x14ac:dyDescent="0.15">
      <c r="A31" s="37" t="s">
        <v>108</v>
      </c>
      <c r="E31" s="37">
        <v>3000</v>
      </c>
      <c r="F31" s="43">
        <f t="shared" si="1"/>
        <v>3072</v>
      </c>
      <c r="G31" s="43">
        <f t="shared" si="1"/>
        <v>3145.7280000000001</v>
      </c>
    </row>
    <row r="32" spans="1:7" x14ac:dyDescent="0.15">
      <c r="A32" s="37" t="s">
        <v>109</v>
      </c>
      <c r="E32" s="37">
        <v>3000</v>
      </c>
      <c r="F32" s="43">
        <f t="shared" si="1"/>
        <v>3072</v>
      </c>
      <c r="G32" s="43">
        <f t="shared" si="1"/>
        <v>3145.7280000000001</v>
      </c>
    </row>
    <row r="33" spans="1:7" x14ac:dyDescent="0.15">
      <c r="A33" s="37" t="s">
        <v>25</v>
      </c>
      <c r="E33" s="37">
        <v>3000</v>
      </c>
      <c r="F33" s="43">
        <f t="shared" si="1"/>
        <v>3072</v>
      </c>
      <c r="G33" s="43">
        <f t="shared" si="1"/>
        <v>3145.7280000000001</v>
      </c>
    </row>
    <row r="35" spans="1:7" x14ac:dyDescent="0.15">
      <c r="A35" s="40" t="s">
        <v>144</v>
      </c>
      <c r="E35" s="43">
        <f>SUMPRODUCT(E23:E26,E30:E33)</f>
        <v>18000</v>
      </c>
      <c r="F35" s="43">
        <f>SUMPRODUCT(F23:F26,F30:F33)</f>
        <v>15360</v>
      </c>
      <c r="G35" s="43">
        <f>SUMPRODUCT(G23:G26,G30:G33)</f>
        <v>0</v>
      </c>
    </row>
    <row r="37" spans="1:7" x14ac:dyDescent="0.15">
      <c r="A37" s="40" t="s">
        <v>112</v>
      </c>
      <c r="B37" s="41" t="s">
        <v>140</v>
      </c>
    </row>
    <row r="38" spans="1:7" x14ac:dyDescent="0.15">
      <c r="A38" s="37" t="s">
        <v>113</v>
      </c>
      <c r="E38" s="37">
        <f>'Employee Count'!E6</f>
        <v>4</v>
      </c>
      <c r="F38" s="37">
        <f>'Employee Count'!I6</f>
        <v>4</v>
      </c>
      <c r="G38" s="37">
        <f>'Employee Count'!M6</f>
        <v>4</v>
      </c>
    </row>
    <row r="39" spans="1:7" x14ac:dyDescent="0.15">
      <c r="A39" s="37" t="s">
        <v>108</v>
      </c>
      <c r="E39" s="37">
        <f>'Employee Count'!E7</f>
        <v>0</v>
      </c>
      <c r="F39" s="37">
        <f>'Employee Count'!I7</f>
        <v>1</v>
      </c>
      <c r="G39" s="37">
        <f>'Employee Count'!M7</f>
        <v>2</v>
      </c>
    </row>
    <row r="40" spans="1:7" x14ac:dyDescent="0.15">
      <c r="A40" s="37" t="s">
        <v>109</v>
      </c>
      <c r="E40" s="37">
        <f>'Employee Count'!E8</f>
        <v>0</v>
      </c>
      <c r="F40" s="37">
        <f>'Employee Count'!I8</f>
        <v>0</v>
      </c>
      <c r="G40" s="37">
        <f>'Employee Count'!M8</f>
        <v>0</v>
      </c>
    </row>
    <row r="41" spans="1:7" x14ac:dyDescent="0.15">
      <c r="A41" s="37" t="s">
        <v>25</v>
      </c>
      <c r="E41" s="37">
        <f>'Employee Count'!E9</f>
        <v>0</v>
      </c>
      <c r="F41" s="37">
        <f>'Employee Count'!I9</f>
        <v>0</v>
      </c>
      <c r="G41" s="37">
        <f>'Employee Count'!M9</f>
        <v>0</v>
      </c>
    </row>
    <row r="42" spans="1:7" x14ac:dyDescent="0.15">
      <c r="A42" s="37" t="s">
        <v>46</v>
      </c>
      <c r="E42" s="37">
        <f>SUM(E38:E41)</f>
        <v>4</v>
      </c>
      <c r="F42" s="37">
        <f>SUM(F38:F41)</f>
        <v>5</v>
      </c>
      <c r="G42" s="37">
        <f>SUM(G38:G41)</f>
        <v>6</v>
      </c>
    </row>
    <row r="44" spans="1:7" x14ac:dyDescent="0.15">
      <c r="A44" s="40" t="s">
        <v>143</v>
      </c>
      <c r="B44" s="42" t="s">
        <v>141</v>
      </c>
    </row>
    <row r="45" spans="1:7" x14ac:dyDescent="0.15">
      <c r="A45" s="37" t="s">
        <v>113</v>
      </c>
      <c r="E45" s="37">
        <v>2000</v>
      </c>
      <c r="F45" s="43">
        <f t="shared" ref="F45:G48" si="2">E45*(1+F$4)</f>
        <v>2048</v>
      </c>
      <c r="G45" s="43">
        <f t="shared" si="2"/>
        <v>2097.152</v>
      </c>
    </row>
    <row r="46" spans="1:7" x14ac:dyDescent="0.15">
      <c r="A46" s="37" t="s">
        <v>108</v>
      </c>
      <c r="E46" s="37">
        <v>2000</v>
      </c>
      <c r="F46" s="43">
        <f t="shared" si="2"/>
        <v>2048</v>
      </c>
      <c r="G46" s="43">
        <f t="shared" si="2"/>
        <v>2097.152</v>
      </c>
    </row>
    <row r="47" spans="1:7" x14ac:dyDescent="0.15">
      <c r="A47" s="37" t="s">
        <v>109</v>
      </c>
      <c r="E47" s="37">
        <v>2000</v>
      </c>
      <c r="F47" s="43">
        <f t="shared" si="2"/>
        <v>2048</v>
      </c>
      <c r="G47" s="43">
        <f t="shared" si="2"/>
        <v>2097.152</v>
      </c>
    </row>
    <row r="48" spans="1:7" x14ac:dyDescent="0.15">
      <c r="A48" s="37" t="s">
        <v>25</v>
      </c>
      <c r="E48" s="37">
        <v>2000</v>
      </c>
      <c r="F48" s="43">
        <f t="shared" si="2"/>
        <v>2048</v>
      </c>
      <c r="G48" s="43">
        <f t="shared" si="2"/>
        <v>2097.152</v>
      </c>
    </row>
    <row r="50" spans="1:7" x14ac:dyDescent="0.15">
      <c r="A50" s="40" t="s">
        <v>144</v>
      </c>
      <c r="E50" s="43">
        <f>SUMPRODUCT(E38:E41,E45:E48)</f>
        <v>8000</v>
      </c>
      <c r="F50" s="43">
        <f>SUMPRODUCT(F38:F41,F45:F48)</f>
        <v>10240</v>
      </c>
      <c r="G50" s="43">
        <f>SUMPRODUCT(G38:G41,G45:G48)</f>
        <v>12582.912</v>
      </c>
    </row>
    <row r="52" spans="1:7" x14ac:dyDescent="0.15">
      <c r="A52" s="37" t="s">
        <v>145</v>
      </c>
      <c r="E52" s="44">
        <f>E20+E35+E50</f>
        <v>48000</v>
      </c>
      <c r="F52" s="44">
        <f>F20+F35+F50</f>
        <v>74752</v>
      </c>
      <c r="G52" s="44">
        <f>G20+G35+G50</f>
        <v>84934.656000000003</v>
      </c>
    </row>
    <row r="54" spans="1:7" ht="14" x14ac:dyDescent="0.15">
      <c r="A54" s="39" t="s">
        <v>146</v>
      </c>
      <c r="B54" s="46" t="s">
        <v>149</v>
      </c>
      <c r="C54" s="46"/>
      <c r="D54" s="46"/>
      <c r="E54" s="46"/>
      <c r="F54" s="46"/>
      <c r="G54" s="46"/>
    </row>
    <row r="55" spans="1:7" x14ac:dyDescent="0.15">
      <c r="A55" s="37" t="s">
        <v>60</v>
      </c>
      <c r="C55" s="43">
        <v>3200</v>
      </c>
      <c r="E55" s="43">
        <f>C55*12</f>
        <v>38400</v>
      </c>
      <c r="F55" s="43">
        <f t="shared" ref="F55:G57" si="3">E55*(1+F$4)</f>
        <v>39321.599999999999</v>
      </c>
      <c r="G55" s="43">
        <f t="shared" si="3"/>
        <v>40265.318399999996</v>
      </c>
    </row>
    <row r="56" spans="1:7" x14ac:dyDescent="0.15">
      <c r="A56" s="37" t="s">
        <v>147</v>
      </c>
      <c r="C56" s="43">
        <v>940</v>
      </c>
      <c r="E56" s="43">
        <f>C56*12</f>
        <v>11280</v>
      </c>
      <c r="F56" s="43">
        <f t="shared" si="3"/>
        <v>11550.72</v>
      </c>
      <c r="G56" s="43">
        <f t="shared" si="3"/>
        <v>11827.93728</v>
      </c>
    </row>
    <row r="57" spans="1:7" x14ac:dyDescent="0.15">
      <c r="A57" s="37" t="s">
        <v>148</v>
      </c>
      <c r="C57" s="43">
        <v>390</v>
      </c>
      <c r="E57" s="43">
        <f>C57*12</f>
        <v>4680</v>
      </c>
      <c r="F57" s="43">
        <f t="shared" si="3"/>
        <v>4792.32</v>
      </c>
      <c r="G57" s="43">
        <f t="shared" si="3"/>
        <v>4907.3356800000001</v>
      </c>
    </row>
    <row r="59" spans="1:7" ht="14" x14ac:dyDescent="0.15">
      <c r="A59" s="39" t="s">
        <v>150</v>
      </c>
      <c r="B59" s="46" t="s">
        <v>149</v>
      </c>
      <c r="C59" s="46"/>
      <c r="D59" s="46"/>
      <c r="E59" s="46"/>
      <c r="F59" s="46"/>
      <c r="G59" s="46"/>
    </row>
    <row r="60" spans="1:7" x14ac:dyDescent="0.15">
      <c r="A60" s="37" t="s">
        <v>151</v>
      </c>
      <c r="C60" s="37">
        <v>20000</v>
      </c>
      <c r="E60" s="43">
        <f>C60*12</f>
        <v>240000</v>
      </c>
      <c r="F60" s="43">
        <f t="shared" ref="F60:G62" si="4">E60*(1+F$4)</f>
        <v>245760</v>
      </c>
      <c r="G60" s="43">
        <f t="shared" si="4"/>
        <v>251658.23999999999</v>
      </c>
    </row>
    <row r="61" spans="1:7" x14ac:dyDescent="0.15">
      <c r="A61" s="37" t="s">
        <v>43</v>
      </c>
      <c r="C61" s="37">
        <v>1000</v>
      </c>
      <c r="E61" s="43">
        <f>C61*12</f>
        <v>12000</v>
      </c>
      <c r="F61" s="43">
        <f t="shared" si="4"/>
        <v>12288</v>
      </c>
      <c r="G61" s="43">
        <f t="shared" si="4"/>
        <v>12582.912</v>
      </c>
    </row>
    <row r="62" spans="1:7" x14ac:dyDescent="0.15">
      <c r="A62" s="37" t="s">
        <v>152</v>
      </c>
      <c r="C62" s="37">
        <v>2166</v>
      </c>
      <c r="E62" s="43">
        <f>C62*200</f>
        <v>433200</v>
      </c>
      <c r="F62" s="43">
        <f t="shared" si="4"/>
        <v>443596.79999999999</v>
      </c>
      <c r="G62" s="43">
        <f t="shared" si="4"/>
        <v>454243.12319999997</v>
      </c>
    </row>
    <row r="64" spans="1:7" ht="14" x14ac:dyDescent="0.15">
      <c r="A64" s="39" t="s">
        <v>153</v>
      </c>
      <c r="B64" s="39"/>
      <c r="C64" s="39"/>
      <c r="D64" s="39"/>
      <c r="E64" s="39"/>
      <c r="F64" s="39"/>
      <c r="G64" s="39"/>
    </row>
    <row r="66" spans="1:7" ht="14" x14ac:dyDescent="0.15">
      <c r="A66" s="39" t="s">
        <v>157</v>
      </c>
      <c r="B66" s="46" t="s">
        <v>158</v>
      </c>
      <c r="C66" s="46"/>
      <c r="D66" s="46"/>
      <c r="E66" s="46"/>
      <c r="F66" s="46"/>
      <c r="G66" s="46"/>
    </row>
    <row r="67" spans="1:7" x14ac:dyDescent="0.15">
      <c r="A67" s="37" t="s">
        <v>154</v>
      </c>
      <c r="E67" s="37">
        <v>30</v>
      </c>
      <c r="F67" s="37">
        <v>30</v>
      </c>
      <c r="G67" s="37">
        <v>30</v>
      </c>
    </row>
    <row r="68" spans="1:7" x14ac:dyDescent="0.15">
      <c r="A68" s="37" t="s">
        <v>155</v>
      </c>
      <c r="E68" s="37">
        <v>30</v>
      </c>
      <c r="F68" s="37">
        <v>30</v>
      </c>
      <c r="G68" s="37">
        <v>30</v>
      </c>
    </row>
    <row r="69" spans="1:7" x14ac:dyDescent="0.15">
      <c r="A69" s="37" t="s">
        <v>156</v>
      </c>
      <c r="E69" s="37">
        <v>2</v>
      </c>
      <c r="F69" s="37">
        <v>2</v>
      </c>
      <c r="G69" s="37">
        <v>2</v>
      </c>
    </row>
    <row r="70" spans="1:7" x14ac:dyDescent="0.15">
      <c r="A70" s="37" t="s">
        <v>159</v>
      </c>
      <c r="E70" s="37">
        <f>E67-E68+E69</f>
        <v>2</v>
      </c>
      <c r="F70" s="37">
        <f>F67-F68+F69</f>
        <v>2</v>
      </c>
      <c r="G70" s="37">
        <f>G67-G68+G69</f>
        <v>2</v>
      </c>
    </row>
    <row r="72" spans="1:7" ht="14" x14ac:dyDescent="0.15">
      <c r="A72" s="39" t="s">
        <v>160</v>
      </c>
      <c r="B72" s="46"/>
      <c r="C72" s="46"/>
      <c r="D72" s="46"/>
      <c r="E72" s="46"/>
      <c r="F72" s="46"/>
      <c r="G72" s="46"/>
    </row>
    <row r="73" spans="1:7" x14ac:dyDescent="0.15">
      <c r="A73" s="37" t="s">
        <v>161</v>
      </c>
      <c r="E73" s="43">
        <f>D76</f>
        <v>90755.82</v>
      </c>
      <c r="F73" s="43">
        <f>E76</f>
        <v>192604.65600000002</v>
      </c>
      <c r="G73" s="43">
        <f>F76</f>
        <v>274083.72480000003</v>
      </c>
    </row>
    <row r="74" spans="1:7" x14ac:dyDescent="0.15">
      <c r="A74" s="37" t="s">
        <v>162</v>
      </c>
      <c r="E74" s="43">
        <f>10000*12</f>
        <v>120000</v>
      </c>
      <c r="F74" s="43">
        <f>10000*12</f>
        <v>120000</v>
      </c>
      <c r="G74" s="43">
        <f>10000*12</f>
        <v>120000</v>
      </c>
    </row>
    <row r="75" spans="1:7" x14ac:dyDescent="0.15">
      <c r="A75" s="37" t="s">
        <v>163</v>
      </c>
      <c r="E75" s="43">
        <f>E73*20%</f>
        <v>18151.164000000001</v>
      </c>
      <c r="F75" s="43">
        <f>F73*20%</f>
        <v>38520.931200000006</v>
      </c>
      <c r="G75" s="43">
        <f>G73*20%</f>
        <v>54816.744960000011</v>
      </c>
    </row>
    <row r="76" spans="1:7" x14ac:dyDescent="0.15">
      <c r="A76" s="37" t="s">
        <v>164</v>
      </c>
      <c r="D76" s="43">
        <v>90755.82</v>
      </c>
      <c r="E76" s="44">
        <f>E73+E74-E75</f>
        <v>192604.65600000002</v>
      </c>
      <c r="F76" s="44">
        <f>F73+F74-F75</f>
        <v>274083.72480000003</v>
      </c>
      <c r="G76" s="44">
        <f>G73+G74-G75</f>
        <v>339266.97984000004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4:N10"/>
  <sheetViews>
    <sheetView workbookViewId="0">
      <selection activeCell="D6" sqref="D6"/>
    </sheetView>
  </sheetViews>
  <sheetFormatPr baseColWidth="10" defaultColWidth="11" defaultRowHeight="16" x14ac:dyDescent="0.2"/>
  <cols>
    <col min="2" max="2" width="23.6640625" customWidth="1"/>
    <col min="3" max="3" width="13.5" customWidth="1"/>
  </cols>
  <sheetData>
    <row r="4" spans="2:14" x14ac:dyDescent="0.2">
      <c r="C4" s="118" t="s">
        <v>95</v>
      </c>
      <c r="D4" s="118"/>
      <c r="E4" s="118"/>
      <c r="F4" s="118"/>
      <c r="G4" s="118" t="s">
        <v>96</v>
      </c>
      <c r="H4" s="118"/>
      <c r="I4" s="118"/>
      <c r="J4" s="118"/>
      <c r="K4" s="123" t="s">
        <v>97</v>
      </c>
      <c r="L4" s="123"/>
      <c r="M4" s="123"/>
      <c r="N4" s="123"/>
    </row>
    <row r="5" spans="2:14" x14ac:dyDescent="0.2">
      <c r="C5" t="s">
        <v>110</v>
      </c>
      <c r="D5" t="s">
        <v>111</v>
      </c>
      <c r="E5" t="s">
        <v>112</v>
      </c>
      <c r="F5" t="s">
        <v>46</v>
      </c>
      <c r="G5" t="s">
        <v>110</v>
      </c>
      <c r="H5" t="s">
        <v>111</v>
      </c>
      <c r="I5" t="s">
        <v>112</v>
      </c>
      <c r="J5" t="s">
        <v>46</v>
      </c>
      <c r="K5" s="33" t="s">
        <v>110</v>
      </c>
      <c r="L5" s="33" t="s">
        <v>111</v>
      </c>
      <c r="M5" s="33" t="s">
        <v>112</v>
      </c>
      <c r="N5" s="33" t="s">
        <v>46</v>
      </c>
    </row>
    <row r="6" spans="2:14" x14ac:dyDescent="0.2">
      <c r="B6" t="s">
        <v>113</v>
      </c>
      <c r="C6">
        <v>2</v>
      </c>
      <c r="D6">
        <v>0</v>
      </c>
      <c r="E6">
        <v>4</v>
      </c>
      <c r="F6">
        <v>6</v>
      </c>
      <c r="G6">
        <v>4</v>
      </c>
      <c r="H6">
        <v>0</v>
      </c>
      <c r="I6">
        <v>4</v>
      </c>
      <c r="J6">
        <v>8</v>
      </c>
      <c r="K6">
        <v>8</v>
      </c>
      <c r="L6">
        <v>0</v>
      </c>
      <c r="M6">
        <v>4</v>
      </c>
      <c r="N6">
        <v>12</v>
      </c>
    </row>
    <row r="7" spans="2:14" x14ac:dyDescent="0.2">
      <c r="B7" t="s">
        <v>108</v>
      </c>
      <c r="C7">
        <v>0</v>
      </c>
      <c r="D7">
        <v>1</v>
      </c>
      <c r="E7">
        <v>0</v>
      </c>
      <c r="F7">
        <v>1</v>
      </c>
      <c r="G7">
        <v>2</v>
      </c>
      <c r="H7">
        <v>0</v>
      </c>
      <c r="I7">
        <v>1</v>
      </c>
      <c r="J7">
        <v>3</v>
      </c>
      <c r="K7">
        <v>2</v>
      </c>
      <c r="L7">
        <v>0</v>
      </c>
      <c r="M7">
        <v>2</v>
      </c>
      <c r="N7">
        <v>4</v>
      </c>
    </row>
    <row r="8" spans="2:14" x14ac:dyDescent="0.2">
      <c r="B8" t="s">
        <v>109</v>
      </c>
      <c r="C8">
        <v>1</v>
      </c>
      <c r="D8">
        <v>0</v>
      </c>
      <c r="E8">
        <v>0</v>
      </c>
      <c r="F8">
        <v>1</v>
      </c>
      <c r="G8">
        <v>1</v>
      </c>
      <c r="H8">
        <v>0</v>
      </c>
      <c r="I8">
        <v>0</v>
      </c>
      <c r="J8">
        <v>1</v>
      </c>
      <c r="K8">
        <v>1</v>
      </c>
      <c r="L8">
        <v>0</v>
      </c>
      <c r="M8">
        <v>0</v>
      </c>
      <c r="N8">
        <v>1</v>
      </c>
    </row>
    <row r="9" spans="2:14" x14ac:dyDescent="0.2">
      <c r="B9" t="s">
        <v>25</v>
      </c>
      <c r="C9">
        <v>2</v>
      </c>
      <c r="D9">
        <v>5</v>
      </c>
      <c r="E9">
        <v>0</v>
      </c>
      <c r="F9">
        <v>7</v>
      </c>
      <c r="G9">
        <v>4</v>
      </c>
      <c r="H9">
        <v>5</v>
      </c>
      <c r="I9">
        <v>0</v>
      </c>
      <c r="J9">
        <v>9</v>
      </c>
      <c r="K9">
        <v>5</v>
      </c>
    </row>
    <row r="10" spans="2:14" x14ac:dyDescent="0.2">
      <c r="B10" t="s">
        <v>114</v>
      </c>
      <c r="C10">
        <v>0</v>
      </c>
      <c r="D10">
        <v>0</v>
      </c>
      <c r="E10">
        <v>0</v>
      </c>
      <c r="F10">
        <v>0</v>
      </c>
    </row>
  </sheetData>
  <mergeCells count="3">
    <mergeCell ref="C4:F4"/>
    <mergeCell ref="G4:J4"/>
    <mergeCell ref="K4:N4"/>
  </mergeCells>
  <pageMargins left="0.75" right="0.75" top="1" bottom="1" header="0.5" footer="0.5"/>
  <pageSetup paperSize="9"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Pick Up Assumptions</vt:lpstr>
      <vt:lpstr>Assumptions</vt:lpstr>
      <vt:lpstr>Snapshot</vt:lpstr>
      <vt:lpstr>Financials</vt:lpstr>
      <vt:lpstr>Ratios</vt:lpstr>
      <vt:lpstr>Critical assumptions</vt:lpstr>
      <vt:lpstr>Revenue &amp; COGS assumtions</vt:lpstr>
      <vt:lpstr>Other assumptions</vt:lpstr>
      <vt:lpstr>Employee Count</vt:lpstr>
      <vt:lpstr>IS Annual</vt:lpstr>
      <vt:lpstr>Omnivore </vt:lpstr>
    </vt:vector>
  </TitlesOfParts>
  <Company>AUS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lulu alzamil</dc:creator>
  <cp:lastModifiedBy>Sumayah Alzamil</cp:lastModifiedBy>
  <dcterms:created xsi:type="dcterms:W3CDTF">2019-03-16T16:09:19Z</dcterms:created>
  <dcterms:modified xsi:type="dcterms:W3CDTF">2020-04-25T00:38:28Z</dcterms:modified>
</cp:coreProperties>
</file>